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\Documents\SGS\PDDH parte II\Ejecución presupuestaria\"/>
    </mc:Choice>
  </mc:AlternateContent>
  <bookViews>
    <workbookView xWindow="0" yWindow="0" windowWidth="20490" windowHeight="7650" firstSheet="8" activeTab="10"/>
  </bookViews>
  <sheets>
    <sheet name="EJECUCION ENE -19 " sheetId="143" r:id="rId1"/>
    <sheet name="EJECUCION FEB - 19" sheetId="144" r:id="rId2"/>
    <sheet name="EJECUCION MZO - 19" sheetId="145" r:id="rId3"/>
    <sheet name="EJECUCION ABR- 19" sheetId="146" r:id="rId4"/>
    <sheet name="EJECUCION MAY- 19 " sheetId="148" r:id="rId5"/>
    <sheet name="EJECUCION JUN- 19" sheetId="149" r:id="rId6"/>
    <sheet name="EJECUCION JUL-19" sheetId="150" r:id="rId7"/>
    <sheet name="EJECUCION AGO - 19" sheetId="151" r:id="rId8"/>
    <sheet name="EJECUCION SEPT - 19" sheetId="152" r:id="rId9"/>
    <sheet name="EJECUCION OCT - 19" sheetId="153" r:id="rId10"/>
    <sheet name="EJECUCION NOV - 19" sheetId="154" r:id="rId11"/>
  </sheets>
  <definedNames>
    <definedName name="TOTAL_RUBRO......">'EJECUCION ENE -19 '!$C$24</definedName>
  </definedNames>
  <calcPr calcId="162913"/>
</workbook>
</file>

<file path=xl/calcChain.xml><?xml version="1.0" encoding="utf-8"?>
<calcChain xmlns="http://schemas.openxmlformats.org/spreadsheetml/2006/main">
  <c r="F101" i="154" l="1"/>
  <c r="G100" i="154"/>
  <c r="F100" i="154"/>
  <c r="C100" i="154"/>
  <c r="D99" i="154"/>
  <c r="D100" i="154" s="1"/>
  <c r="D101" i="154" s="1"/>
  <c r="G98" i="154"/>
  <c r="F98" i="154"/>
  <c r="C98" i="154"/>
  <c r="C101" i="154" s="1"/>
  <c r="E97" i="154"/>
  <c r="H97" i="154" s="1"/>
  <c r="E96" i="154"/>
  <c r="E95" i="154"/>
  <c r="H95" i="154" s="1"/>
  <c r="D94" i="154"/>
  <c r="D98" i="154" s="1"/>
  <c r="E93" i="154"/>
  <c r="H93" i="154" s="1"/>
  <c r="E92" i="154"/>
  <c r="H92" i="154" s="1"/>
  <c r="G87" i="154"/>
  <c r="C87" i="154"/>
  <c r="G86" i="154"/>
  <c r="F86" i="154"/>
  <c r="D86" i="154"/>
  <c r="C86" i="154"/>
  <c r="E85" i="154"/>
  <c r="E86" i="154" s="1"/>
  <c r="H86" i="154" s="1"/>
  <c r="G84" i="154"/>
  <c r="F84" i="154"/>
  <c r="F87" i="154" s="1"/>
  <c r="D84" i="154"/>
  <c r="D87" i="154" s="1"/>
  <c r="C84" i="154"/>
  <c r="E83" i="154"/>
  <c r="E84" i="154" s="1"/>
  <c r="E82" i="154"/>
  <c r="H82" i="154" s="1"/>
  <c r="G81" i="154"/>
  <c r="G80" i="154"/>
  <c r="F80" i="154"/>
  <c r="D80" i="154"/>
  <c r="C80" i="154"/>
  <c r="E79" i="154"/>
  <c r="E80" i="154" s="1"/>
  <c r="H80" i="154" s="1"/>
  <c r="G78" i="154"/>
  <c r="F78" i="154"/>
  <c r="D78" i="154"/>
  <c r="E77" i="154"/>
  <c r="H77" i="154" s="1"/>
  <c r="E76" i="154"/>
  <c r="H76" i="154" s="1"/>
  <c r="E75" i="154"/>
  <c r="H75" i="154" s="1"/>
  <c r="C75" i="154"/>
  <c r="C78" i="154" s="1"/>
  <c r="C81" i="154" s="1"/>
  <c r="G74" i="154"/>
  <c r="F74" i="154"/>
  <c r="F81" i="154" s="1"/>
  <c r="D74" i="154"/>
  <c r="D81" i="154" s="1"/>
  <c r="C74" i="154"/>
  <c r="H73" i="154"/>
  <c r="E73" i="154"/>
  <c r="E74" i="154" s="1"/>
  <c r="G71" i="154"/>
  <c r="G72" i="154" s="1"/>
  <c r="F71" i="154"/>
  <c r="D71" i="154"/>
  <c r="D72" i="154" s="1"/>
  <c r="C71" i="154"/>
  <c r="C72" i="154" s="1"/>
  <c r="E70" i="154"/>
  <c r="H70" i="154" s="1"/>
  <c r="H69" i="154"/>
  <c r="E69" i="154"/>
  <c r="E71" i="154" s="1"/>
  <c r="G68" i="154"/>
  <c r="F68" i="154"/>
  <c r="F72" i="154" s="1"/>
  <c r="D68" i="154"/>
  <c r="C68" i="154"/>
  <c r="H67" i="154"/>
  <c r="E67" i="154"/>
  <c r="E66" i="154"/>
  <c r="H66" i="154" s="1"/>
  <c r="H65" i="154"/>
  <c r="E65" i="154"/>
  <c r="E68" i="154" s="1"/>
  <c r="H68" i="154" s="1"/>
  <c r="G64" i="154"/>
  <c r="F64" i="154"/>
  <c r="D64" i="154"/>
  <c r="C64" i="154"/>
  <c r="H63" i="154"/>
  <c r="E63" i="154"/>
  <c r="E62" i="154"/>
  <c r="H62" i="154" s="1"/>
  <c r="H61" i="154"/>
  <c r="E61" i="154"/>
  <c r="E60" i="154"/>
  <c r="H60" i="154" s="1"/>
  <c r="H59" i="154"/>
  <c r="E59" i="154"/>
  <c r="H58" i="154"/>
  <c r="E58" i="154"/>
  <c r="H57" i="154"/>
  <c r="E57" i="154"/>
  <c r="H56" i="154"/>
  <c r="E56" i="154"/>
  <c r="H55" i="154"/>
  <c r="E55" i="154"/>
  <c r="H54" i="154"/>
  <c r="E54" i="154"/>
  <c r="H53" i="154"/>
  <c r="E53" i="154"/>
  <c r="H52" i="154"/>
  <c r="E52" i="154"/>
  <c r="E64" i="154" s="1"/>
  <c r="H64" i="154" s="1"/>
  <c r="G51" i="154"/>
  <c r="F51" i="154"/>
  <c r="D51" i="154"/>
  <c r="C51" i="154"/>
  <c r="H50" i="154"/>
  <c r="E50" i="154"/>
  <c r="H49" i="154"/>
  <c r="E49" i="154"/>
  <c r="H48" i="154"/>
  <c r="E48" i="154"/>
  <c r="H47" i="154"/>
  <c r="E47" i="154"/>
  <c r="E51" i="154" s="1"/>
  <c r="H51" i="154" s="1"/>
  <c r="G43" i="154"/>
  <c r="F43" i="154"/>
  <c r="D43" i="154"/>
  <c r="C43" i="154"/>
  <c r="H42" i="154"/>
  <c r="E42" i="154"/>
  <c r="E41" i="154"/>
  <c r="H41" i="154" s="1"/>
  <c r="H40" i="154"/>
  <c r="E40" i="154"/>
  <c r="E39" i="154"/>
  <c r="H39" i="154" s="1"/>
  <c r="H38" i="154"/>
  <c r="E38" i="154"/>
  <c r="E37" i="154"/>
  <c r="H37" i="154" s="1"/>
  <c r="H36" i="154"/>
  <c r="E36" i="154"/>
  <c r="E35" i="154"/>
  <c r="H35" i="154" s="1"/>
  <c r="H34" i="154"/>
  <c r="E34" i="154"/>
  <c r="E33" i="154"/>
  <c r="H33" i="154" s="1"/>
  <c r="H32" i="154"/>
  <c r="E32" i="154"/>
  <c r="E31" i="154"/>
  <c r="H31" i="154" s="1"/>
  <c r="H30" i="154"/>
  <c r="E30" i="154"/>
  <c r="E29" i="154"/>
  <c r="H29" i="154" s="1"/>
  <c r="H28" i="154"/>
  <c r="E28" i="154"/>
  <c r="E27" i="154"/>
  <c r="H27" i="154" s="1"/>
  <c r="H26" i="154"/>
  <c r="E26" i="154"/>
  <c r="E25" i="154"/>
  <c r="E43" i="154" s="1"/>
  <c r="H43" i="154" s="1"/>
  <c r="F24" i="154"/>
  <c r="D24" i="154"/>
  <c r="C24" i="154"/>
  <c r="E23" i="154"/>
  <c r="H23" i="154" s="1"/>
  <c r="H22" i="154"/>
  <c r="E22" i="154"/>
  <c r="E21" i="154"/>
  <c r="H21" i="154" s="1"/>
  <c r="H20" i="154"/>
  <c r="E20" i="154"/>
  <c r="E19" i="154"/>
  <c r="H19" i="154" s="1"/>
  <c r="H18" i="154"/>
  <c r="G18" i="154"/>
  <c r="E18" i="154"/>
  <c r="G17" i="154"/>
  <c r="E17" i="154"/>
  <c r="H17" i="154" s="1"/>
  <c r="G16" i="154"/>
  <c r="E16" i="154"/>
  <c r="H16" i="154" s="1"/>
  <c r="G15" i="154"/>
  <c r="E15" i="154"/>
  <c r="H15" i="154" s="1"/>
  <c r="H14" i="154"/>
  <c r="E14" i="154"/>
  <c r="E13" i="154"/>
  <c r="H13" i="154" s="1"/>
  <c r="H12" i="154"/>
  <c r="G12" i="154"/>
  <c r="E12" i="154"/>
  <c r="E11" i="154"/>
  <c r="H11" i="154" s="1"/>
  <c r="E10" i="154"/>
  <c r="H10" i="154" s="1"/>
  <c r="G9" i="154"/>
  <c r="G24" i="154" s="1"/>
  <c r="G102" i="154" s="1"/>
  <c r="E9" i="154"/>
  <c r="E24" i="154" s="1"/>
  <c r="E81" i="154" l="1"/>
  <c r="H81" i="154" s="1"/>
  <c r="H74" i="154"/>
  <c r="H84" i="154"/>
  <c r="H87" i="154" s="1"/>
  <c r="E87" i="154"/>
  <c r="E72" i="154"/>
  <c r="H72" i="154" s="1"/>
  <c r="H71" i="154"/>
  <c r="D102" i="154"/>
  <c r="F102" i="154"/>
  <c r="C102" i="154"/>
  <c r="E78" i="154"/>
  <c r="H78" i="154" s="1"/>
  <c r="E98" i="154"/>
  <c r="H98" i="154" s="1"/>
  <c r="H9" i="154"/>
  <c r="H24" i="154" s="1"/>
  <c r="H79" i="154"/>
  <c r="H83" i="154"/>
  <c r="H85" i="154"/>
  <c r="E99" i="154"/>
  <c r="H25" i="154"/>
  <c r="E94" i="154"/>
  <c r="H94" i="154" s="1"/>
  <c r="G99" i="153"/>
  <c r="F99" i="153"/>
  <c r="F100" i="153" s="1"/>
  <c r="C99" i="153"/>
  <c r="D98" i="153"/>
  <c r="E98" i="153" s="1"/>
  <c r="G97" i="153"/>
  <c r="F97" i="153"/>
  <c r="C97" i="153"/>
  <c r="C100" i="153" s="1"/>
  <c r="E96" i="153"/>
  <c r="H96" i="153" s="1"/>
  <c r="E95" i="153"/>
  <c r="H95" i="153" s="1"/>
  <c r="D95" i="153"/>
  <c r="D94" i="153"/>
  <c r="E94" i="153" s="1"/>
  <c r="H94" i="153" s="1"/>
  <c r="D93" i="153"/>
  <c r="D97" i="153" s="1"/>
  <c r="D92" i="153"/>
  <c r="E92" i="153" s="1"/>
  <c r="G87" i="153"/>
  <c r="D87" i="153"/>
  <c r="C87" i="153"/>
  <c r="G86" i="153"/>
  <c r="F86" i="153"/>
  <c r="D86" i="153"/>
  <c r="C86" i="153"/>
  <c r="E85" i="153"/>
  <c r="H85" i="153" s="1"/>
  <c r="G84" i="153"/>
  <c r="F84" i="153"/>
  <c r="F87" i="153" s="1"/>
  <c r="D84" i="153"/>
  <c r="C84" i="153"/>
  <c r="E83" i="153"/>
  <c r="H83" i="153" s="1"/>
  <c r="E82" i="153"/>
  <c r="H82" i="153" s="1"/>
  <c r="G80" i="153"/>
  <c r="F80" i="153"/>
  <c r="D80" i="153"/>
  <c r="C80" i="153"/>
  <c r="E79" i="153"/>
  <c r="H79" i="153" s="1"/>
  <c r="G78" i="153"/>
  <c r="F78" i="153"/>
  <c r="E77" i="153"/>
  <c r="H77" i="153" s="1"/>
  <c r="E76" i="153"/>
  <c r="H76" i="153" s="1"/>
  <c r="E75" i="153"/>
  <c r="H75" i="153" s="1"/>
  <c r="D75" i="153"/>
  <c r="D78" i="153" s="1"/>
  <c r="C75" i="153"/>
  <c r="C78" i="153" s="1"/>
  <c r="G74" i="153"/>
  <c r="G81" i="153" s="1"/>
  <c r="F74" i="153"/>
  <c r="F81" i="153" s="1"/>
  <c r="D74" i="153"/>
  <c r="D81" i="153" s="1"/>
  <c r="C74" i="153"/>
  <c r="C81" i="153" s="1"/>
  <c r="E73" i="153"/>
  <c r="H73" i="153" s="1"/>
  <c r="G71" i="153"/>
  <c r="F71" i="153"/>
  <c r="F72" i="153" s="1"/>
  <c r="D71" i="153"/>
  <c r="C71" i="153"/>
  <c r="E70" i="153"/>
  <c r="H70" i="153" s="1"/>
  <c r="E69" i="153"/>
  <c r="H69" i="153" s="1"/>
  <c r="G68" i="153"/>
  <c r="F68" i="153"/>
  <c r="D68" i="153"/>
  <c r="D72" i="153" s="1"/>
  <c r="C68" i="153"/>
  <c r="E67" i="153"/>
  <c r="H67" i="153" s="1"/>
  <c r="E66" i="153"/>
  <c r="H66" i="153" s="1"/>
  <c r="E65" i="153"/>
  <c r="H65" i="153" s="1"/>
  <c r="G64" i="153"/>
  <c r="F64" i="153"/>
  <c r="D64" i="153"/>
  <c r="C64" i="153"/>
  <c r="E63" i="153"/>
  <c r="H63" i="153" s="1"/>
  <c r="E62" i="153"/>
  <c r="H62" i="153" s="1"/>
  <c r="E61" i="153"/>
  <c r="H61" i="153" s="1"/>
  <c r="E60" i="153"/>
  <c r="H60" i="153" s="1"/>
  <c r="E59" i="153"/>
  <c r="H59" i="153" s="1"/>
  <c r="E58" i="153"/>
  <c r="H58" i="153" s="1"/>
  <c r="E57" i="153"/>
  <c r="H57" i="153" s="1"/>
  <c r="E56" i="153"/>
  <c r="H56" i="153" s="1"/>
  <c r="E55" i="153"/>
  <c r="H55" i="153" s="1"/>
  <c r="E54" i="153"/>
  <c r="H54" i="153" s="1"/>
  <c r="E53" i="153"/>
  <c r="H53" i="153" s="1"/>
  <c r="E52" i="153"/>
  <c r="E64" i="153" s="1"/>
  <c r="H64" i="153" s="1"/>
  <c r="G51" i="153"/>
  <c r="F51" i="153"/>
  <c r="D51" i="153"/>
  <c r="C51" i="153"/>
  <c r="E50" i="153"/>
  <c r="H50" i="153" s="1"/>
  <c r="E49" i="153"/>
  <c r="H49" i="153" s="1"/>
  <c r="E48" i="153"/>
  <c r="H48" i="153" s="1"/>
  <c r="E47" i="153"/>
  <c r="H47" i="153" s="1"/>
  <c r="G43" i="153"/>
  <c r="F43" i="153"/>
  <c r="D43" i="153"/>
  <c r="C43" i="153"/>
  <c r="E42" i="153"/>
  <c r="H42" i="153" s="1"/>
  <c r="E41" i="153"/>
  <c r="H41" i="153" s="1"/>
  <c r="E40" i="153"/>
  <c r="H40" i="153" s="1"/>
  <c r="E39" i="153"/>
  <c r="H39" i="153" s="1"/>
  <c r="E38" i="153"/>
  <c r="H38" i="153" s="1"/>
  <c r="E37" i="153"/>
  <c r="H37" i="153" s="1"/>
  <c r="E36" i="153"/>
  <c r="H36" i="153" s="1"/>
  <c r="E35" i="153"/>
  <c r="H35" i="153" s="1"/>
  <c r="E34" i="153"/>
  <c r="H34" i="153" s="1"/>
  <c r="E33" i="153"/>
  <c r="H33" i="153" s="1"/>
  <c r="E32" i="153"/>
  <c r="H32" i="153" s="1"/>
  <c r="E31" i="153"/>
  <c r="H31" i="153" s="1"/>
  <c r="E30" i="153"/>
  <c r="H30" i="153" s="1"/>
  <c r="E29" i="153"/>
  <c r="H29" i="153" s="1"/>
  <c r="E28" i="153"/>
  <c r="H28" i="153" s="1"/>
  <c r="E27" i="153"/>
  <c r="H27" i="153" s="1"/>
  <c r="E26" i="153"/>
  <c r="H26" i="153" s="1"/>
  <c r="E25" i="153"/>
  <c r="F24" i="153"/>
  <c r="F101" i="153" s="1"/>
  <c r="D24" i="153"/>
  <c r="C24" i="153"/>
  <c r="E23" i="153"/>
  <c r="H23" i="153" s="1"/>
  <c r="E22" i="153"/>
  <c r="H22" i="153" s="1"/>
  <c r="E21" i="153"/>
  <c r="H21" i="153" s="1"/>
  <c r="E20" i="153"/>
  <c r="H20" i="153" s="1"/>
  <c r="E19" i="153"/>
  <c r="H19" i="153" s="1"/>
  <c r="G18" i="153"/>
  <c r="E18" i="153"/>
  <c r="H18" i="153" s="1"/>
  <c r="H17" i="153"/>
  <c r="G17" i="153"/>
  <c r="E17" i="153"/>
  <c r="G16" i="153"/>
  <c r="H16" i="153" s="1"/>
  <c r="E16" i="153"/>
  <c r="G15" i="153"/>
  <c r="E15" i="153"/>
  <c r="H15" i="153" s="1"/>
  <c r="E14" i="153"/>
  <c r="H14" i="153" s="1"/>
  <c r="E13" i="153"/>
  <c r="H13" i="153" s="1"/>
  <c r="G12" i="153"/>
  <c r="G24" i="153" s="1"/>
  <c r="E12" i="153"/>
  <c r="H12" i="153" s="1"/>
  <c r="H11" i="153"/>
  <c r="E11" i="153"/>
  <c r="E10" i="153"/>
  <c r="H10" i="153" s="1"/>
  <c r="H9" i="153"/>
  <c r="H24" i="153" s="1"/>
  <c r="G9" i="153"/>
  <c r="E9" i="153"/>
  <c r="H99" i="154" l="1"/>
  <c r="E100" i="154"/>
  <c r="H98" i="153"/>
  <c r="E99" i="153"/>
  <c r="E43" i="153"/>
  <c r="H43" i="153" s="1"/>
  <c r="H25" i="153"/>
  <c r="G72" i="153"/>
  <c r="G101" i="153" s="1"/>
  <c r="C72" i="153"/>
  <c r="C101" i="153" s="1"/>
  <c r="E24" i="153"/>
  <c r="H92" i="153"/>
  <c r="E51" i="153"/>
  <c r="H51" i="153" s="1"/>
  <c r="E84" i="153"/>
  <c r="E86" i="153"/>
  <c r="H86" i="153" s="1"/>
  <c r="H52" i="153"/>
  <c r="E68" i="153"/>
  <c r="H68" i="153" s="1"/>
  <c r="E74" i="153"/>
  <c r="E93" i="153"/>
  <c r="H93" i="153" s="1"/>
  <c r="D99" i="153"/>
  <c r="D100" i="153" s="1"/>
  <c r="D101" i="153" s="1"/>
  <c r="E80" i="153"/>
  <c r="H80" i="153" s="1"/>
  <c r="E71" i="153"/>
  <c r="E78" i="153"/>
  <c r="H78" i="153" s="1"/>
  <c r="F100" i="152"/>
  <c r="G99" i="152"/>
  <c r="F99" i="152"/>
  <c r="C99" i="152"/>
  <c r="D98" i="152"/>
  <c r="E98" i="152" s="1"/>
  <c r="G97" i="152"/>
  <c r="F97" i="152"/>
  <c r="C97" i="152"/>
  <c r="C100" i="152" s="1"/>
  <c r="E96" i="152"/>
  <c r="H96" i="152" s="1"/>
  <c r="H95" i="152"/>
  <c r="E95" i="152"/>
  <c r="D95" i="152"/>
  <c r="H94" i="152"/>
  <c r="E94" i="152"/>
  <c r="D94" i="152"/>
  <c r="E93" i="152"/>
  <c r="H93" i="152" s="1"/>
  <c r="D93" i="152"/>
  <c r="D92" i="152"/>
  <c r="D97" i="152" s="1"/>
  <c r="D87" i="152"/>
  <c r="G86" i="152"/>
  <c r="F86" i="152"/>
  <c r="D86" i="152"/>
  <c r="C86" i="152"/>
  <c r="H85" i="152"/>
  <c r="E85" i="152"/>
  <c r="E86" i="152" s="1"/>
  <c r="H86" i="152" s="1"/>
  <c r="G84" i="152"/>
  <c r="G87" i="152" s="1"/>
  <c r="F84" i="152"/>
  <c r="F87" i="152" s="1"/>
  <c r="D84" i="152"/>
  <c r="C84" i="152"/>
  <c r="C87" i="152" s="1"/>
  <c r="H83" i="152"/>
  <c r="E83" i="152"/>
  <c r="E82" i="152"/>
  <c r="E84" i="152" s="1"/>
  <c r="G80" i="152"/>
  <c r="F80" i="152"/>
  <c r="D80" i="152"/>
  <c r="C80" i="152"/>
  <c r="H79" i="152"/>
  <c r="E79" i="152"/>
  <c r="E80" i="152" s="1"/>
  <c r="H80" i="152" s="1"/>
  <c r="G78" i="152"/>
  <c r="F78" i="152"/>
  <c r="H77" i="152"/>
  <c r="E77" i="152"/>
  <c r="E76" i="152"/>
  <c r="H76" i="152" s="1"/>
  <c r="D75" i="152"/>
  <c r="D78" i="152" s="1"/>
  <c r="C75" i="152"/>
  <c r="E75" i="152" s="1"/>
  <c r="G74" i="152"/>
  <c r="G81" i="152" s="1"/>
  <c r="F74" i="152"/>
  <c r="F81" i="152" s="1"/>
  <c r="D74" i="152"/>
  <c r="D81" i="152" s="1"/>
  <c r="C74" i="152"/>
  <c r="E73" i="152"/>
  <c r="H73" i="152" s="1"/>
  <c r="G71" i="152"/>
  <c r="G72" i="152" s="1"/>
  <c r="F71" i="152"/>
  <c r="F72" i="152" s="1"/>
  <c r="D71" i="152"/>
  <c r="C71" i="152"/>
  <c r="C72" i="152" s="1"/>
  <c r="H70" i="152"/>
  <c r="E70" i="152"/>
  <c r="E69" i="152"/>
  <c r="E71" i="152" s="1"/>
  <c r="G68" i="152"/>
  <c r="F68" i="152"/>
  <c r="D68" i="152"/>
  <c r="D72" i="152" s="1"/>
  <c r="C68" i="152"/>
  <c r="E67" i="152"/>
  <c r="H67" i="152" s="1"/>
  <c r="H66" i="152"/>
  <c r="E66" i="152"/>
  <c r="E65" i="152"/>
  <c r="H65" i="152" s="1"/>
  <c r="G64" i="152"/>
  <c r="F64" i="152"/>
  <c r="D64" i="152"/>
  <c r="C64" i="152"/>
  <c r="E63" i="152"/>
  <c r="H63" i="152" s="1"/>
  <c r="H62" i="152"/>
  <c r="E62" i="152"/>
  <c r="E61" i="152"/>
  <c r="H61" i="152" s="1"/>
  <c r="H60" i="152"/>
  <c r="E60" i="152"/>
  <c r="E59" i="152"/>
  <c r="H59" i="152" s="1"/>
  <c r="H58" i="152"/>
  <c r="E58" i="152"/>
  <c r="E57" i="152"/>
  <c r="H57" i="152" s="1"/>
  <c r="H56" i="152"/>
  <c r="E56" i="152"/>
  <c r="E55" i="152"/>
  <c r="H55" i="152" s="1"/>
  <c r="H54" i="152"/>
  <c r="E54" i="152"/>
  <c r="E53" i="152"/>
  <c r="H53" i="152" s="1"/>
  <c r="H52" i="152"/>
  <c r="E52" i="152"/>
  <c r="G51" i="152"/>
  <c r="F51" i="152"/>
  <c r="D51" i="152"/>
  <c r="C51" i="152"/>
  <c r="H50" i="152"/>
  <c r="E50" i="152"/>
  <c r="E49" i="152"/>
  <c r="H49" i="152" s="1"/>
  <c r="H48" i="152"/>
  <c r="E48" i="152"/>
  <c r="E47" i="152"/>
  <c r="E51" i="152" s="1"/>
  <c r="H51" i="152" s="1"/>
  <c r="G43" i="152"/>
  <c r="F43" i="152"/>
  <c r="D43" i="152"/>
  <c r="C43" i="152"/>
  <c r="E42" i="152"/>
  <c r="H42" i="152" s="1"/>
  <c r="H41" i="152"/>
  <c r="E41" i="152"/>
  <c r="E40" i="152"/>
  <c r="H40" i="152" s="1"/>
  <c r="H39" i="152"/>
  <c r="E39" i="152"/>
  <c r="E38" i="152"/>
  <c r="H38" i="152" s="1"/>
  <c r="H37" i="152"/>
  <c r="E37" i="152"/>
  <c r="E36" i="152"/>
  <c r="H36" i="152" s="1"/>
  <c r="H35" i="152"/>
  <c r="E35" i="152"/>
  <c r="E34" i="152"/>
  <c r="H34" i="152" s="1"/>
  <c r="H33" i="152"/>
  <c r="E33" i="152"/>
  <c r="E32" i="152"/>
  <c r="H32" i="152" s="1"/>
  <c r="H31" i="152"/>
  <c r="E31" i="152"/>
  <c r="E30" i="152"/>
  <c r="H30" i="152" s="1"/>
  <c r="H29" i="152"/>
  <c r="E29" i="152"/>
  <c r="E28" i="152"/>
  <c r="H28" i="152" s="1"/>
  <c r="H27" i="152"/>
  <c r="E27" i="152"/>
  <c r="E26" i="152"/>
  <c r="E43" i="152" s="1"/>
  <c r="H43" i="152" s="1"/>
  <c r="H25" i="152"/>
  <c r="E25" i="152"/>
  <c r="F24" i="152"/>
  <c r="F101" i="152" s="1"/>
  <c r="D24" i="152"/>
  <c r="C24" i="152"/>
  <c r="H23" i="152"/>
  <c r="E23" i="152"/>
  <c r="E22" i="152"/>
  <c r="H22" i="152" s="1"/>
  <c r="H21" i="152"/>
  <c r="E21" i="152"/>
  <c r="E20" i="152"/>
  <c r="H20" i="152" s="1"/>
  <c r="H19" i="152"/>
  <c r="E19" i="152"/>
  <c r="G18" i="152"/>
  <c r="E18" i="152"/>
  <c r="H18" i="152" s="1"/>
  <c r="G17" i="152"/>
  <c r="E17" i="152"/>
  <c r="H17" i="152" s="1"/>
  <c r="H16" i="152"/>
  <c r="G16" i="152"/>
  <c r="E16" i="152"/>
  <c r="G15" i="152"/>
  <c r="H15" i="152" s="1"/>
  <c r="E15" i="152"/>
  <c r="E14" i="152"/>
  <c r="H14" i="152" s="1"/>
  <c r="H13" i="152"/>
  <c r="E13" i="152"/>
  <c r="G12" i="152"/>
  <c r="G24" i="152" s="1"/>
  <c r="E12" i="152"/>
  <c r="H12" i="152" s="1"/>
  <c r="H11" i="152"/>
  <c r="E11" i="152"/>
  <c r="E10" i="152"/>
  <c r="H10" i="152" s="1"/>
  <c r="G9" i="152"/>
  <c r="E9" i="152"/>
  <c r="E24" i="152" s="1"/>
  <c r="E101" i="154" l="1"/>
  <c r="E102" i="154" s="1"/>
  <c r="H102" i="154" s="1"/>
  <c r="H100" i="154"/>
  <c r="H101" i="154" s="1"/>
  <c r="E97" i="153"/>
  <c r="H97" i="153" s="1"/>
  <c r="H99" i="153"/>
  <c r="H71" i="153"/>
  <c r="E72" i="153"/>
  <c r="H72" i="153" s="1"/>
  <c r="H74" i="153"/>
  <c r="E81" i="153"/>
  <c r="H81" i="153" s="1"/>
  <c r="H84" i="153"/>
  <c r="H87" i="153" s="1"/>
  <c r="E87" i="153"/>
  <c r="H71" i="152"/>
  <c r="H75" i="152"/>
  <c r="E78" i="152"/>
  <c r="H78" i="152" s="1"/>
  <c r="H98" i="152"/>
  <c r="E99" i="152"/>
  <c r="G101" i="152"/>
  <c r="H84" i="152"/>
  <c r="H87" i="152" s="1"/>
  <c r="E87" i="152"/>
  <c r="E64" i="152"/>
  <c r="H64" i="152" s="1"/>
  <c r="E68" i="152"/>
  <c r="H68" i="152" s="1"/>
  <c r="E74" i="152"/>
  <c r="D99" i="152"/>
  <c r="D100" i="152" s="1"/>
  <c r="D101" i="152" s="1"/>
  <c r="H26" i="152"/>
  <c r="H47" i="152"/>
  <c r="H69" i="152"/>
  <c r="H82" i="152"/>
  <c r="E92" i="152"/>
  <c r="C78" i="152"/>
  <c r="C81" i="152" s="1"/>
  <c r="C101" i="152" s="1"/>
  <c r="H9" i="152"/>
  <c r="H24" i="152" s="1"/>
  <c r="F100" i="151"/>
  <c r="G99" i="151"/>
  <c r="F99" i="151"/>
  <c r="C99" i="151"/>
  <c r="D98" i="151"/>
  <c r="E98" i="151" s="1"/>
  <c r="G97" i="151"/>
  <c r="F97" i="151"/>
  <c r="C97" i="151"/>
  <c r="C100" i="151" s="1"/>
  <c r="E96" i="151"/>
  <c r="H96" i="151" s="1"/>
  <c r="D95" i="151"/>
  <c r="E95" i="151" s="1"/>
  <c r="H95" i="151" s="1"/>
  <c r="H94" i="151"/>
  <c r="E94" i="151"/>
  <c r="D94" i="151"/>
  <c r="E93" i="151"/>
  <c r="H93" i="151" s="1"/>
  <c r="D93" i="151"/>
  <c r="D92" i="151"/>
  <c r="D97" i="151" s="1"/>
  <c r="D87" i="151"/>
  <c r="G86" i="151"/>
  <c r="F86" i="151"/>
  <c r="D86" i="151"/>
  <c r="C86" i="151"/>
  <c r="H85" i="151"/>
  <c r="E85" i="151"/>
  <c r="E86" i="151" s="1"/>
  <c r="H86" i="151" s="1"/>
  <c r="G84" i="151"/>
  <c r="G87" i="151" s="1"/>
  <c r="F84" i="151"/>
  <c r="F87" i="151" s="1"/>
  <c r="D84" i="151"/>
  <c r="C84" i="151"/>
  <c r="C87" i="151" s="1"/>
  <c r="H83" i="151"/>
  <c r="E83" i="151"/>
  <c r="E82" i="151"/>
  <c r="E84" i="151" s="1"/>
  <c r="G80" i="151"/>
  <c r="F80" i="151"/>
  <c r="D80" i="151"/>
  <c r="C80" i="151"/>
  <c r="H79" i="151"/>
  <c r="E79" i="151"/>
  <c r="E80" i="151" s="1"/>
  <c r="H80" i="151" s="1"/>
  <c r="G78" i="151"/>
  <c r="F78" i="151"/>
  <c r="H77" i="151"/>
  <c r="E77" i="151"/>
  <c r="E76" i="151"/>
  <c r="H76" i="151" s="1"/>
  <c r="D75" i="151"/>
  <c r="D78" i="151" s="1"/>
  <c r="C75" i="151"/>
  <c r="E75" i="151" s="1"/>
  <c r="G74" i="151"/>
  <c r="G81" i="151" s="1"/>
  <c r="F74" i="151"/>
  <c r="F81" i="151" s="1"/>
  <c r="D74" i="151"/>
  <c r="D81" i="151" s="1"/>
  <c r="C74" i="151"/>
  <c r="E73" i="151"/>
  <c r="H73" i="151" s="1"/>
  <c r="G71" i="151"/>
  <c r="G72" i="151" s="1"/>
  <c r="F71" i="151"/>
  <c r="F72" i="151" s="1"/>
  <c r="D71" i="151"/>
  <c r="C71" i="151"/>
  <c r="C72" i="151" s="1"/>
  <c r="H70" i="151"/>
  <c r="E70" i="151"/>
  <c r="E69" i="151"/>
  <c r="E71" i="151" s="1"/>
  <c r="G68" i="151"/>
  <c r="F68" i="151"/>
  <c r="E68" i="151"/>
  <c r="H68" i="151" s="1"/>
  <c r="D68" i="151"/>
  <c r="D72" i="151" s="1"/>
  <c r="C68" i="151"/>
  <c r="E67" i="151"/>
  <c r="H67" i="151" s="1"/>
  <c r="H66" i="151"/>
  <c r="E66" i="151"/>
  <c r="E65" i="151"/>
  <c r="H65" i="151" s="1"/>
  <c r="G64" i="151"/>
  <c r="F64" i="151"/>
  <c r="D64" i="151"/>
  <c r="C64" i="151"/>
  <c r="E63" i="151"/>
  <c r="H63" i="151" s="1"/>
  <c r="H62" i="151"/>
  <c r="E62" i="151"/>
  <c r="E61" i="151"/>
  <c r="H61" i="151" s="1"/>
  <c r="H60" i="151"/>
  <c r="E60" i="151"/>
  <c r="E59" i="151"/>
  <c r="H59" i="151" s="1"/>
  <c r="H58" i="151"/>
  <c r="E58" i="151"/>
  <c r="E57" i="151"/>
  <c r="H57" i="151" s="1"/>
  <c r="H56" i="151"/>
  <c r="E56" i="151"/>
  <c r="E55" i="151"/>
  <c r="H55" i="151" s="1"/>
  <c r="H54" i="151"/>
  <c r="E54" i="151"/>
  <c r="E53" i="151"/>
  <c r="E64" i="151" s="1"/>
  <c r="H64" i="151" s="1"/>
  <c r="H52" i="151"/>
  <c r="E52" i="151"/>
  <c r="G51" i="151"/>
  <c r="F51" i="151"/>
  <c r="D51" i="151"/>
  <c r="C51" i="151"/>
  <c r="H50" i="151"/>
  <c r="E50" i="151"/>
  <c r="E49" i="151"/>
  <c r="H49" i="151" s="1"/>
  <c r="H48" i="151"/>
  <c r="E48" i="151"/>
  <c r="E47" i="151"/>
  <c r="E51" i="151" s="1"/>
  <c r="H51" i="151" s="1"/>
  <c r="G43" i="151"/>
  <c r="F43" i="151"/>
  <c r="D43" i="151"/>
  <c r="C43" i="151"/>
  <c r="E42" i="151"/>
  <c r="H42" i="151" s="1"/>
  <c r="H41" i="151"/>
  <c r="E41" i="151"/>
  <c r="E40" i="151"/>
  <c r="H40" i="151" s="1"/>
  <c r="H39" i="151"/>
  <c r="E39" i="151"/>
  <c r="E38" i="151"/>
  <c r="H38" i="151" s="1"/>
  <c r="H37" i="151"/>
  <c r="E37" i="151"/>
  <c r="E36" i="151"/>
  <c r="H36" i="151" s="1"/>
  <c r="H35" i="151"/>
  <c r="E35" i="151"/>
  <c r="E34" i="151"/>
  <c r="H34" i="151" s="1"/>
  <c r="H33" i="151"/>
  <c r="E33" i="151"/>
  <c r="E32" i="151"/>
  <c r="H32" i="151" s="1"/>
  <c r="H31" i="151"/>
  <c r="E31" i="151"/>
  <c r="E30" i="151"/>
  <c r="H30" i="151" s="1"/>
  <c r="H29" i="151"/>
  <c r="E29" i="151"/>
  <c r="E28" i="151"/>
  <c r="H28" i="151" s="1"/>
  <c r="H27" i="151"/>
  <c r="E27" i="151"/>
  <c r="E26" i="151"/>
  <c r="E43" i="151" s="1"/>
  <c r="H43" i="151" s="1"/>
  <c r="H25" i="151"/>
  <c r="E25" i="151"/>
  <c r="F24" i="151"/>
  <c r="D24" i="151"/>
  <c r="C24" i="151"/>
  <c r="H23" i="151"/>
  <c r="E23" i="151"/>
  <c r="E22" i="151"/>
  <c r="H22" i="151" s="1"/>
  <c r="H21" i="151"/>
  <c r="E21" i="151"/>
  <c r="E20" i="151"/>
  <c r="H20" i="151" s="1"/>
  <c r="H19" i="151"/>
  <c r="E19" i="151"/>
  <c r="G18" i="151"/>
  <c r="E18" i="151"/>
  <c r="H18" i="151" s="1"/>
  <c r="G17" i="151"/>
  <c r="E17" i="151"/>
  <c r="H17" i="151" s="1"/>
  <c r="H16" i="151"/>
  <c r="G16" i="151"/>
  <c r="E16" i="151"/>
  <c r="H15" i="151"/>
  <c r="G15" i="151"/>
  <c r="E15" i="151"/>
  <c r="E14" i="151"/>
  <c r="H14" i="151" s="1"/>
  <c r="H13" i="151"/>
  <c r="E13" i="151"/>
  <c r="G12" i="151"/>
  <c r="G24" i="151" s="1"/>
  <c r="E12" i="151"/>
  <c r="H12" i="151" s="1"/>
  <c r="E11" i="151"/>
  <c r="H11" i="151" s="1"/>
  <c r="H10" i="151"/>
  <c r="E10" i="151"/>
  <c r="G9" i="151"/>
  <c r="E9" i="151"/>
  <c r="E24" i="151" s="1"/>
  <c r="H100" i="153" l="1"/>
  <c r="E101" i="153"/>
  <c r="H101" i="153" s="1"/>
  <c r="E100" i="153"/>
  <c r="H92" i="152"/>
  <c r="E97" i="152"/>
  <c r="H97" i="152" s="1"/>
  <c r="H99" i="152"/>
  <c r="H74" i="152"/>
  <c r="E81" i="152"/>
  <c r="H81" i="152" s="1"/>
  <c r="E72" i="152"/>
  <c r="H84" i="151"/>
  <c r="H87" i="151" s="1"/>
  <c r="E87" i="151"/>
  <c r="H98" i="151"/>
  <c r="E99" i="151"/>
  <c r="G101" i="151"/>
  <c r="F101" i="151"/>
  <c r="E72" i="151"/>
  <c r="H72" i="151" s="1"/>
  <c r="H71" i="151"/>
  <c r="H75" i="151"/>
  <c r="E78" i="151"/>
  <c r="H78" i="151" s="1"/>
  <c r="E74" i="151"/>
  <c r="D99" i="151"/>
  <c r="D100" i="151" s="1"/>
  <c r="D101" i="151" s="1"/>
  <c r="H26" i="151"/>
  <c r="H47" i="151"/>
  <c r="H53" i="151"/>
  <c r="H69" i="151"/>
  <c r="H82" i="151"/>
  <c r="E92" i="151"/>
  <c r="C78" i="151"/>
  <c r="C81" i="151" s="1"/>
  <c r="C101" i="151" s="1"/>
  <c r="H9" i="151"/>
  <c r="H24" i="151" s="1"/>
  <c r="F100" i="150"/>
  <c r="G99" i="150"/>
  <c r="F99" i="150"/>
  <c r="D99" i="150"/>
  <c r="D100" i="150" s="1"/>
  <c r="C99" i="150"/>
  <c r="H98" i="150"/>
  <c r="E98" i="150"/>
  <c r="E99" i="150" s="1"/>
  <c r="G97" i="150"/>
  <c r="F97" i="150"/>
  <c r="D97" i="150"/>
  <c r="C97" i="150"/>
  <c r="C100" i="150" s="1"/>
  <c r="H96" i="150"/>
  <c r="E96" i="150"/>
  <c r="E95" i="150"/>
  <c r="H95" i="150" s="1"/>
  <c r="H94" i="150"/>
  <c r="E94" i="150"/>
  <c r="E93" i="150"/>
  <c r="H93" i="150" s="1"/>
  <c r="H92" i="150"/>
  <c r="E92" i="150"/>
  <c r="E97" i="150" s="1"/>
  <c r="H97" i="150" s="1"/>
  <c r="G87" i="150"/>
  <c r="D87" i="150"/>
  <c r="C87" i="150"/>
  <c r="G86" i="150"/>
  <c r="F86" i="150"/>
  <c r="D86" i="150"/>
  <c r="C86" i="150"/>
  <c r="E85" i="150"/>
  <c r="H85" i="150" s="1"/>
  <c r="G84" i="150"/>
  <c r="F84" i="150"/>
  <c r="F87" i="150" s="1"/>
  <c r="D84" i="150"/>
  <c r="C84" i="150"/>
  <c r="E83" i="150"/>
  <c r="H83" i="150" s="1"/>
  <c r="H82" i="150"/>
  <c r="E82" i="150"/>
  <c r="G81" i="150"/>
  <c r="D81" i="150"/>
  <c r="G80" i="150"/>
  <c r="F80" i="150"/>
  <c r="D80" i="150"/>
  <c r="C80" i="150"/>
  <c r="E79" i="150"/>
  <c r="H79" i="150" s="1"/>
  <c r="G78" i="150"/>
  <c r="F78" i="150"/>
  <c r="D78" i="150"/>
  <c r="E77" i="150"/>
  <c r="H77" i="150" s="1"/>
  <c r="H76" i="150"/>
  <c r="E76" i="150"/>
  <c r="E75" i="150"/>
  <c r="E78" i="150" s="1"/>
  <c r="H78" i="150" s="1"/>
  <c r="C75" i="150"/>
  <c r="C78" i="150" s="1"/>
  <c r="C81" i="150" s="1"/>
  <c r="G74" i="150"/>
  <c r="F74" i="150"/>
  <c r="F81" i="150" s="1"/>
  <c r="D74" i="150"/>
  <c r="C74" i="150"/>
  <c r="H73" i="150"/>
  <c r="E73" i="150"/>
  <c r="E74" i="150" s="1"/>
  <c r="G71" i="150"/>
  <c r="G72" i="150" s="1"/>
  <c r="F71" i="150"/>
  <c r="D71" i="150"/>
  <c r="D72" i="150" s="1"/>
  <c r="C71" i="150"/>
  <c r="C72" i="150" s="1"/>
  <c r="E70" i="150"/>
  <c r="H70" i="150" s="1"/>
  <c r="H69" i="150"/>
  <c r="E69" i="150"/>
  <c r="E71" i="150" s="1"/>
  <c r="G68" i="150"/>
  <c r="F68" i="150"/>
  <c r="D68" i="150"/>
  <c r="C68" i="150"/>
  <c r="H67" i="150"/>
  <c r="E67" i="150"/>
  <c r="E66" i="150"/>
  <c r="H66" i="150" s="1"/>
  <c r="H65" i="150"/>
  <c r="E65" i="150"/>
  <c r="E68" i="150" s="1"/>
  <c r="H68" i="150" s="1"/>
  <c r="G64" i="150"/>
  <c r="F64" i="150"/>
  <c r="F72" i="150" s="1"/>
  <c r="D64" i="150"/>
  <c r="C64" i="150"/>
  <c r="H63" i="150"/>
  <c r="E63" i="150"/>
  <c r="E62" i="150"/>
  <c r="H62" i="150" s="1"/>
  <c r="H61" i="150"/>
  <c r="E61" i="150"/>
  <c r="E60" i="150"/>
  <c r="H60" i="150" s="1"/>
  <c r="H59" i="150"/>
  <c r="E59" i="150"/>
  <c r="E58" i="150"/>
  <c r="H58" i="150" s="1"/>
  <c r="H57" i="150"/>
  <c r="E57" i="150"/>
  <c r="E56" i="150"/>
  <c r="H56" i="150" s="1"/>
  <c r="H55" i="150"/>
  <c r="E55" i="150"/>
  <c r="E54" i="150"/>
  <c r="H54" i="150" s="1"/>
  <c r="H53" i="150"/>
  <c r="E53" i="150"/>
  <c r="E52" i="150"/>
  <c r="E64" i="150" s="1"/>
  <c r="H64" i="150" s="1"/>
  <c r="G51" i="150"/>
  <c r="F51" i="150"/>
  <c r="D51" i="150"/>
  <c r="C51" i="150"/>
  <c r="E50" i="150"/>
  <c r="H50" i="150" s="1"/>
  <c r="H49" i="150"/>
  <c r="E49" i="150"/>
  <c r="E48" i="150"/>
  <c r="H48" i="150" s="1"/>
  <c r="H47" i="150"/>
  <c r="E47" i="150"/>
  <c r="E51" i="150" s="1"/>
  <c r="H51" i="150" s="1"/>
  <c r="G43" i="150"/>
  <c r="F43" i="150"/>
  <c r="D43" i="150"/>
  <c r="C43" i="150"/>
  <c r="H42" i="150"/>
  <c r="E42" i="150"/>
  <c r="E41" i="150"/>
  <c r="H41" i="150" s="1"/>
  <c r="H40" i="150"/>
  <c r="E40" i="150"/>
  <c r="E39" i="150"/>
  <c r="H39" i="150" s="1"/>
  <c r="H38" i="150"/>
  <c r="E38" i="150"/>
  <c r="E37" i="150"/>
  <c r="H37" i="150" s="1"/>
  <c r="H36" i="150"/>
  <c r="E36" i="150"/>
  <c r="E35" i="150"/>
  <c r="H35" i="150" s="1"/>
  <c r="H34" i="150"/>
  <c r="E34" i="150"/>
  <c r="E33" i="150"/>
  <c r="H33" i="150" s="1"/>
  <c r="H32" i="150"/>
  <c r="E32" i="150"/>
  <c r="E31" i="150"/>
  <c r="H31" i="150" s="1"/>
  <c r="H30" i="150"/>
  <c r="E30" i="150"/>
  <c r="E29" i="150"/>
  <c r="H29" i="150" s="1"/>
  <c r="H28" i="150"/>
  <c r="E28" i="150"/>
  <c r="E27" i="150"/>
  <c r="H27" i="150" s="1"/>
  <c r="H26" i="150"/>
  <c r="E26" i="150"/>
  <c r="E25" i="150"/>
  <c r="E43" i="150" s="1"/>
  <c r="H43" i="150" s="1"/>
  <c r="F24" i="150"/>
  <c r="D24" i="150"/>
  <c r="C24" i="150"/>
  <c r="E23" i="150"/>
  <c r="H23" i="150" s="1"/>
  <c r="H22" i="150"/>
  <c r="G22" i="150"/>
  <c r="E22" i="150"/>
  <c r="E21" i="150"/>
  <c r="H21" i="150" s="1"/>
  <c r="H20" i="150"/>
  <c r="E20" i="150"/>
  <c r="E19" i="150"/>
  <c r="H19" i="150" s="1"/>
  <c r="H18" i="150"/>
  <c r="G18" i="150"/>
  <c r="E18" i="150"/>
  <c r="H17" i="150"/>
  <c r="G17" i="150"/>
  <c r="E17" i="150"/>
  <c r="G16" i="150"/>
  <c r="E16" i="150"/>
  <c r="H16" i="150" s="1"/>
  <c r="G15" i="150"/>
  <c r="E15" i="150"/>
  <c r="H15" i="150" s="1"/>
  <c r="H14" i="150"/>
  <c r="E14" i="150"/>
  <c r="E13" i="150"/>
  <c r="H13" i="150" s="1"/>
  <c r="H12" i="150"/>
  <c r="G12" i="150"/>
  <c r="E12" i="150"/>
  <c r="H11" i="150"/>
  <c r="E11" i="150"/>
  <c r="E10" i="150"/>
  <c r="H10" i="150" s="1"/>
  <c r="H9" i="150"/>
  <c r="G9" i="150"/>
  <c r="G24" i="150" s="1"/>
  <c r="G101" i="150" s="1"/>
  <c r="E9" i="150"/>
  <c r="H100" i="152" l="1"/>
  <c r="H72" i="152"/>
  <c r="E100" i="152"/>
  <c r="E101" i="152" s="1"/>
  <c r="H101" i="152" s="1"/>
  <c r="H74" i="151"/>
  <c r="E81" i="151"/>
  <c r="H81" i="151" s="1"/>
  <c r="H92" i="151"/>
  <c r="E97" i="151"/>
  <c r="H97" i="151" s="1"/>
  <c r="E100" i="151"/>
  <c r="H99" i="151"/>
  <c r="H100" i="151" s="1"/>
  <c r="H71" i="150"/>
  <c r="E72" i="150"/>
  <c r="H72" i="150" s="1"/>
  <c r="H24" i="150"/>
  <c r="D101" i="150"/>
  <c r="F101" i="150"/>
  <c r="E81" i="150"/>
  <c r="H81" i="150" s="1"/>
  <c r="H74" i="150"/>
  <c r="C101" i="150"/>
  <c r="E100" i="150"/>
  <c r="H99" i="150"/>
  <c r="H100" i="150" s="1"/>
  <c r="E80" i="150"/>
  <c r="H80" i="150" s="1"/>
  <c r="E84" i="150"/>
  <c r="E86" i="150"/>
  <c r="H86" i="150" s="1"/>
  <c r="E24" i="150"/>
  <c r="H75" i="150"/>
  <c r="H25" i="150"/>
  <c r="H52" i="150"/>
  <c r="F100" i="149"/>
  <c r="G99" i="149"/>
  <c r="F99" i="149"/>
  <c r="D99" i="149"/>
  <c r="D100" i="149" s="1"/>
  <c r="C99" i="149"/>
  <c r="H98" i="149"/>
  <c r="E98" i="149"/>
  <c r="E99" i="149" s="1"/>
  <c r="G97" i="149"/>
  <c r="F97" i="149"/>
  <c r="D97" i="149"/>
  <c r="C97" i="149"/>
  <c r="C100" i="149" s="1"/>
  <c r="H96" i="149"/>
  <c r="E96" i="149"/>
  <c r="E95" i="149"/>
  <c r="H95" i="149" s="1"/>
  <c r="H94" i="149"/>
  <c r="E94" i="149"/>
  <c r="E93" i="149"/>
  <c r="H93" i="149" s="1"/>
  <c r="H92" i="149"/>
  <c r="E92" i="149"/>
  <c r="E97" i="149" s="1"/>
  <c r="H97" i="149" s="1"/>
  <c r="G87" i="149"/>
  <c r="D87" i="149"/>
  <c r="C87" i="149"/>
  <c r="G86" i="149"/>
  <c r="F86" i="149"/>
  <c r="D86" i="149"/>
  <c r="C86" i="149"/>
  <c r="E85" i="149"/>
  <c r="E86" i="149" s="1"/>
  <c r="H86" i="149" s="1"/>
  <c r="G84" i="149"/>
  <c r="F84" i="149"/>
  <c r="F87" i="149" s="1"/>
  <c r="D84" i="149"/>
  <c r="C84" i="149"/>
  <c r="E83" i="149"/>
  <c r="E84" i="149" s="1"/>
  <c r="H82" i="149"/>
  <c r="E82" i="149"/>
  <c r="G81" i="149"/>
  <c r="D81" i="149"/>
  <c r="G80" i="149"/>
  <c r="F80" i="149"/>
  <c r="D80" i="149"/>
  <c r="C80" i="149"/>
  <c r="E79" i="149"/>
  <c r="E80" i="149" s="1"/>
  <c r="H80" i="149" s="1"/>
  <c r="G78" i="149"/>
  <c r="F78" i="149"/>
  <c r="D78" i="149"/>
  <c r="E77" i="149"/>
  <c r="H77" i="149" s="1"/>
  <c r="H76" i="149"/>
  <c r="E76" i="149"/>
  <c r="E75" i="149"/>
  <c r="H75" i="149" s="1"/>
  <c r="C75" i="149"/>
  <c r="C78" i="149" s="1"/>
  <c r="C81" i="149" s="1"/>
  <c r="G74" i="149"/>
  <c r="F74" i="149"/>
  <c r="F81" i="149" s="1"/>
  <c r="D74" i="149"/>
  <c r="C74" i="149"/>
  <c r="H73" i="149"/>
  <c r="E73" i="149"/>
  <c r="E74" i="149" s="1"/>
  <c r="G71" i="149"/>
  <c r="F71" i="149"/>
  <c r="D71" i="149"/>
  <c r="D72" i="149" s="1"/>
  <c r="C71" i="149"/>
  <c r="E70" i="149"/>
  <c r="E71" i="149" s="1"/>
  <c r="H69" i="149"/>
  <c r="E69" i="149"/>
  <c r="G68" i="149"/>
  <c r="G72" i="149" s="1"/>
  <c r="F68" i="149"/>
  <c r="F72" i="149" s="1"/>
  <c r="D68" i="149"/>
  <c r="C68" i="149"/>
  <c r="C72" i="149" s="1"/>
  <c r="H67" i="149"/>
  <c r="E67" i="149"/>
  <c r="E66" i="149"/>
  <c r="H66" i="149" s="1"/>
  <c r="H65" i="149"/>
  <c r="E65" i="149"/>
  <c r="E68" i="149" s="1"/>
  <c r="H68" i="149" s="1"/>
  <c r="G64" i="149"/>
  <c r="F64" i="149"/>
  <c r="D64" i="149"/>
  <c r="C64" i="149"/>
  <c r="H63" i="149"/>
  <c r="E63" i="149"/>
  <c r="E62" i="149"/>
  <c r="H62" i="149" s="1"/>
  <c r="H61" i="149"/>
  <c r="E61" i="149"/>
  <c r="E60" i="149"/>
  <c r="H60" i="149" s="1"/>
  <c r="H59" i="149"/>
  <c r="E59" i="149"/>
  <c r="E58" i="149"/>
  <c r="H58" i="149" s="1"/>
  <c r="H57" i="149"/>
  <c r="E57" i="149"/>
  <c r="E56" i="149"/>
  <c r="H56" i="149" s="1"/>
  <c r="H55" i="149"/>
  <c r="E55" i="149"/>
  <c r="E54" i="149"/>
  <c r="H54" i="149" s="1"/>
  <c r="H53" i="149"/>
  <c r="E53" i="149"/>
  <c r="E52" i="149"/>
  <c r="E64" i="149" s="1"/>
  <c r="H64" i="149" s="1"/>
  <c r="G51" i="149"/>
  <c r="F51" i="149"/>
  <c r="D51" i="149"/>
  <c r="C51" i="149"/>
  <c r="E50" i="149"/>
  <c r="H50" i="149" s="1"/>
  <c r="H49" i="149"/>
  <c r="E49" i="149"/>
  <c r="E48" i="149"/>
  <c r="H48" i="149" s="1"/>
  <c r="H47" i="149"/>
  <c r="E47" i="149"/>
  <c r="G43" i="149"/>
  <c r="F43" i="149"/>
  <c r="D43" i="149"/>
  <c r="C43" i="149"/>
  <c r="H42" i="149"/>
  <c r="E42" i="149"/>
  <c r="E41" i="149"/>
  <c r="H41" i="149" s="1"/>
  <c r="H40" i="149"/>
  <c r="E40" i="149"/>
  <c r="E39" i="149"/>
  <c r="H39" i="149" s="1"/>
  <c r="H38" i="149"/>
  <c r="E38" i="149"/>
  <c r="E37" i="149"/>
  <c r="H37" i="149" s="1"/>
  <c r="H36" i="149"/>
  <c r="E36" i="149"/>
  <c r="E35" i="149"/>
  <c r="H35" i="149" s="1"/>
  <c r="H34" i="149"/>
  <c r="E34" i="149"/>
  <c r="E33" i="149"/>
  <c r="H33" i="149" s="1"/>
  <c r="H32" i="149"/>
  <c r="E32" i="149"/>
  <c r="E31" i="149"/>
  <c r="H31" i="149" s="1"/>
  <c r="H30" i="149"/>
  <c r="E30" i="149"/>
  <c r="E29" i="149"/>
  <c r="H29" i="149" s="1"/>
  <c r="H28" i="149"/>
  <c r="E28" i="149"/>
  <c r="E27" i="149"/>
  <c r="H27" i="149" s="1"/>
  <c r="H26" i="149"/>
  <c r="E26" i="149"/>
  <c r="E25" i="149"/>
  <c r="E43" i="149" s="1"/>
  <c r="H43" i="149" s="1"/>
  <c r="F24" i="149"/>
  <c r="D24" i="149"/>
  <c r="C24" i="149"/>
  <c r="E23" i="149"/>
  <c r="H23" i="149" s="1"/>
  <c r="H22" i="149"/>
  <c r="G22" i="149"/>
  <c r="E22" i="149"/>
  <c r="E21" i="149"/>
  <c r="H21" i="149" s="1"/>
  <c r="H20" i="149"/>
  <c r="E20" i="149"/>
  <c r="E19" i="149"/>
  <c r="H19" i="149" s="1"/>
  <c r="G18" i="149"/>
  <c r="E18" i="149"/>
  <c r="H18" i="149" s="1"/>
  <c r="H17" i="149"/>
  <c r="G17" i="149"/>
  <c r="E17" i="149"/>
  <c r="G16" i="149"/>
  <c r="H16" i="149" s="1"/>
  <c r="E16" i="149"/>
  <c r="G15" i="149"/>
  <c r="E15" i="149"/>
  <c r="H15" i="149" s="1"/>
  <c r="H14" i="149"/>
  <c r="E14" i="149"/>
  <c r="E13" i="149"/>
  <c r="H13" i="149" s="1"/>
  <c r="G12" i="149"/>
  <c r="E12" i="149"/>
  <c r="H12" i="149" s="1"/>
  <c r="H11" i="149"/>
  <c r="E11" i="149"/>
  <c r="E10" i="149"/>
  <c r="E24" i="149" s="1"/>
  <c r="H9" i="149"/>
  <c r="G9" i="149"/>
  <c r="G24" i="149" s="1"/>
  <c r="G101" i="149" s="1"/>
  <c r="E9" i="149"/>
  <c r="E101" i="151" l="1"/>
  <c r="H101" i="151" s="1"/>
  <c r="E101" i="150"/>
  <c r="H101" i="150" s="1"/>
  <c r="H84" i="150"/>
  <c r="H87" i="150" s="1"/>
  <c r="E87" i="150"/>
  <c r="H71" i="149"/>
  <c r="H84" i="149"/>
  <c r="H87" i="149" s="1"/>
  <c r="E87" i="149"/>
  <c r="D101" i="149"/>
  <c r="F101" i="149"/>
  <c r="H74" i="149"/>
  <c r="C101" i="149"/>
  <c r="E100" i="149"/>
  <c r="H99" i="149"/>
  <c r="H100" i="149" s="1"/>
  <c r="E78" i="149"/>
  <c r="H78" i="149" s="1"/>
  <c r="E51" i="149"/>
  <c r="H51" i="149" s="1"/>
  <c r="H10" i="149"/>
  <c r="H24" i="149" s="1"/>
  <c r="H25" i="149"/>
  <c r="H52" i="149"/>
  <c r="H70" i="149"/>
  <c r="H79" i="149"/>
  <c r="H83" i="149"/>
  <c r="H85" i="149"/>
  <c r="F100" i="148"/>
  <c r="C100" i="148"/>
  <c r="G99" i="148"/>
  <c r="F99" i="148"/>
  <c r="D99" i="148"/>
  <c r="D100" i="148" s="1"/>
  <c r="C99" i="148"/>
  <c r="E98" i="148"/>
  <c r="H98" i="148" s="1"/>
  <c r="G97" i="148"/>
  <c r="F97" i="148"/>
  <c r="D97" i="148"/>
  <c r="C97" i="148"/>
  <c r="E96" i="148"/>
  <c r="H96" i="148" s="1"/>
  <c r="H95" i="148"/>
  <c r="E95" i="148"/>
  <c r="E94" i="148"/>
  <c r="H94" i="148" s="1"/>
  <c r="H93" i="148"/>
  <c r="E93" i="148"/>
  <c r="E92" i="148"/>
  <c r="H92" i="148" s="1"/>
  <c r="D87" i="148"/>
  <c r="G86" i="148"/>
  <c r="F86" i="148"/>
  <c r="D86" i="148"/>
  <c r="C86" i="148"/>
  <c r="H85" i="148"/>
  <c r="E85" i="148"/>
  <c r="E86" i="148" s="1"/>
  <c r="H86" i="148" s="1"/>
  <c r="G84" i="148"/>
  <c r="G87" i="148" s="1"/>
  <c r="F84" i="148"/>
  <c r="F87" i="148" s="1"/>
  <c r="D84" i="148"/>
  <c r="C84" i="148"/>
  <c r="C87" i="148" s="1"/>
  <c r="H83" i="148"/>
  <c r="E83" i="148"/>
  <c r="E82" i="148"/>
  <c r="E84" i="148" s="1"/>
  <c r="D81" i="148"/>
  <c r="G80" i="148"/>
  <c r="F80" i="148"/>
  <c r="D80" i="148"/>
  <c r="C80" i="148"/>
  <c r="H79" i="148"/>
  <c r="E79" i="148"/>
  <c r="E80" i="148" s="1"/>
  <c r="H80" i="148" s="1"/>
  <c r="G78" i="148"/>
  <c r="F78" i="148"/>
  <c r="D78" i="148"/>
  <c r="C78" i="148"/>
  <c r="H77" i="148"/>
  <c r="E77" i="148"/>
  <c r="E76" i="148"/>
  <c r="H76" i="148" s="1"/>
  <c r="C75" i="148"/>
  <c r="E75" i="148" s="1"/>
  <c r="G74" i="148"/>
  <c r="G81" i="148" s="1"/>
  <c r="F74" i="148"/>
  <c r="F81" i="148" s="1"/>
  <c r="D74" i="148"/>
  <c r="C74" i="148"/>
  <c r="C81" i="148" s="1"/>
  <c r="E73" i="148"/>
  <c r="H73" i="148" s="1"/>
  <c r="G71" i="148"/>
  <c r="F71" i="148"/>
  <c r="F72" i="148" s="1"/>
  <c r="D71" i="148"/>
  <c r="C71" i="148"/>
  <c r="E70" i="148"/>
  <c r="E71" i="148" s="1"/>
  <c r="E69" i="148"/>
  <c r="H69" i="148" s="1"/>
  <c r="G68" i="148"/>
  <c r="G72" i="148" s="1"/>
  <c r="F68" i="148"/>
  <c r="D68" i="148"/>
  <c r="D72" i="148" s="1"/>
  <c r="C68" i="148"/>
  <c r="C72" i="148" s="1"/>
  <c r="E67" i="148"/>
  <c r="H67" i="148" s="1"/>
  <c r="E66" i="148"/>
  <c r="H66" i="148" s="1"/>
  <c r="E65" i="148"/>
  <c r="H65" i="148" s="1"/>
  <c r="G64" i="148"/>
  <c r="F64" i="148"/>
  <c r="D64" i="148"/>
  <c r="C64" i="148"/>
  <c r="E63" i="148"/>
  <c r="H63" i="148" s="1"/>
  <c r="E62" i="148"/>
  <c r="H62" i="148" s="1"/>
  <c r="H61" i="148"/>
  <c r="E61" i="148"/>
  <c r="E60" i="148"/>
  <c r="H60" i="148" s="1"/>
  <c r="H59" i="148"/>
  <c r="E59" i="148"/>
  <c r="E58" i="148"/>
  <c r="H58" i="148" s="1"/>
  <c r="H57" i="148"/>
  <c r="E57" i="148"/>
  <c r="E56" i="148"/>
  <c r="H56" i="148" s="1"/>
  <c r="H55" i="148"/>
  <c r="E55" i="148"/>
  <c r="E54" i="148"/>
  <c r="H54" i="148" s="1"/>
  <c r="H53" i="148"/>
  <c r="E53" i="148"/>
  <c r="E52" i="148"/>
  <c r="E64" i="148" s="1"/>
  <c r="H64" i="148" s="1"/>
  <c r="G51" i="148"/>
  <c r="F51" i="148"/>
  <c r="D51" i="148"/>
  <c r="C51" i="148"/>
  <c r="E50" i="148"/>
  <c r="H50" i="148" s="1"/>
  <c r="H49" i="148"/>
  <c r="E49" i="148"/>
  <c r="E48" i="148"/>
  <c r="E51" i="148" s="1"/>
  <c r="H51" i="148" s="1"/>
  <c r="E47" i="148"/>
  <c r="H47" i="148" s="1"/>
  <c r="G43" i="148"/>
  <c r="F43" i="148"/>
  <c r="D43" i="148"/>
  <c r="C43" i="148"/>
  <c r="H42" i="148"/>
  <c r="E42" i="148"/>
  <c r="E41" i="148"/>
  <c r="H41" i="148" s="1"/>
  <c r="H40" i="148"/>
  <c r="E40" i="148"/>
  <c r="E39" i="148"/>
  <c r="H39" i="148" s="1"/>
  <c r="H38" i="148"/>
  <c r="E38" i="148"/>
  <c r="E37" i="148"/>
  <c r="H37" i="148" s="1"/>
  <c r="H36" i="148"/>
  <c r="E36" i="148"/>
  <c r="E35" i="148"/>
  <c r="H35" i="148" s="1"/>
  <c r="H34" i="148"/>
  <c r="E34" i="148"/>
  <c r="E33" i="148"/>
  <c r="H33" i="148" s="1"/>
  <c r="H32" i="148"/>
  <c r="E32" i="148"/>
  <c r="E31" i="148"/>
  <c r="H31" i="148" s="1"/>
  <c r="H30" i="148"/>
  <c r="E30" i="148"/>
  <c r="E29" i="148"/>
  <c r="H29" i="148" s="1"/>
  <c r="H28" i="148"/>
  <c r="E28" i="148"/>
  <c r="E27" i="148"/>
  <c r="H27" i="148" s="1"/>
  <c r="H26" i="148"/>
  <c r="E26" i="148"/>
  <c r="E25" i="148"/>
  <c r="E43" i="148" s="1"/>
  <c r="H43" i="148" s="1"/>
  <c r="F24" i="148"/>
  <c r="D24" i="148"/>
  <c r="C24" i="148"/>
  <c r="E23" i="148"/>
  <c r="H23" i="148" s="1"/>
  <c r="H22" i="148"/>
  <c r="E22" i="148"/>
  <c r="E21" i="148"/>
  <c r="H21" i="148" s="1"/>
  <c r="H20" i="148"/>
  <c r="E20" i="148"/>
  <c r="E19" i="148"/>
  <c r="H19" i="148" s="1"/>
  <c r="H18" i="148"/>
  <c r="G18" i="148"/>
  <c r="E18" i="148"/>
  <c r="H17" i="148"/>
  <c r="G17" i="148"/>
  <c r="E17" i="148"/>
  <c r="G16" i="148"/>
  <c r="E16" i="148"/>
  <c r="H16" i="148" s="1"/>
  <c r="G15" i="148"/>
  <c r="E15" i="148"/>
  <c r="H15" i="148" s="1"/>
  <c r="H14" i="148"/>
  <c r="E14" i="148"/>
  <c r="E13" i="148"/>
  <c r="E24" i="148" s="1"/>
  <c r="H12" i="148"/>
  <c r="G12" i="148"/>
  <c r="E12" i="148"/>
  <c r="H11" i="148"/>
  <c r="E11" i="148"/>
  <c r="E10" i="148"/>
  <c r="H10" i="148" s="1"/>
  <c r="H9" i="148"/>
  <c r="G9" i="148"/>
  <c r="G24" i="148" s="1"/>
  <c r="G101" i="148" s="1"/>
  <c r="E9" i="148"/>
  <c r="E81" i="149" l="1"/>
  <c r="H81" i="149" s="1"/>
  <c r="E72" i="149"/>
  <c r="H24" i="148"/>
  <c r="H84" i="148"/>
  <c r="H87" i="148" s="1"/>
  <c r="E87" i="148"/>
  <c r="F101" i="148"/>
  <c r="E78" i="148"/>
  <c r="H78" i="148" s="1"/>
  <c r="H75" i="148"/>
  <c r="C101" i="148"/>
  <c r="H71" i="148"/>
  <c r="D101" i="148"/>
  <c r="H13" i="148"/>
  <c r="H25" i="148"/>
  <c r="H48" i="148"/>
  <c r="H52" i="148"/>
  <c r="H70" i="148"/>
  <c r="E97" i="148"/>
  <c r="H97" i="148" s="1"/>
  <c r="E99" i="148"/>
  <c r="E68" i="148"/>
  <c r="H68" i="148" s="1"/>
  <c r="E74" i="148"/>
  <c r="H82" i="148"/>
  <c r="F99" i="146"/>
  <c r="C99" i="146"/>
  <c r="C100" i="146" s="1"/>
  <c r="G98" i="146"/>
  <c r="F98" i="146"/>
  <c r="D98" i="146"/>
  <c r="D99" i="146" s="1"/>
  <c r="D100" i="146" s="1"/>
  <c r="C98" i="146"/>
  <c r="E97" i="146"/>
  <c r="H97" i="146" s="1"/>
  <c r="G96" i="146"/>
  <c r="F96" i="146"/>
  <c r="D96" i="146"/>
  <c r="C96" i="146"/>
  <c r="E95" i="146"/>
  <c r="H95" i="146" s="1"/>
  <c r="H94" i="146"/>
  <c r="E94" i="146"/>
  <c r="E93" i="146"/>
  <c r="H93" i="146" s="1"/>
  <c r="H92" i="146"/>
  <c r="E92" i="146"/>
  <c r="E91" i="146"/>
  <c r="H91" i="146" s="1"/>
  <c r="D86" i="146"/>
  <c r="G85" i="146"/>
  <c r="F85" i="146"/>
  <c r="D85" i="146"/>
  <c r="C85" i="146"/>
  <c r="H84" i="146"/>
  <c r="E84" i="146"/>
  <c r="E85" i="146" s="1"/>
  <c r="H85" i="146" s="1"/>
  <c r="G83" i="146"/>
  <c r="G86" i="146" s="1"/>
  <c r="F83" i="146"/>
  <c r="F86" i="146" s="1"/>
  <c r="D83" i="146"/>
  <c r="C83" i="146"/>
  <c r="C86" i="146" s="1"/>
  <c r="H82" i="146"/>
  <c r="E82" i="146"/>
  <c r="E81" i="146"/>
  <c r="E83" i="146" s="1"/>
  <c r="D80" i="146"/>
  <c r="G79" i="146"/>
  <c r="F79" i="146"/>
  <c r="F80" i="146" s="1"/>
  <c r="D79" i="146"/>
  <c r="C79" i="146"/>
  <c r="C80" i="146" s="1"/>
  <c r="H78" i="146"/>
  <c r="E78" i="146"/>
  <c r="E77" i="146"/>
  <c r="H77" i="146" s="1"/>
  <c r="H76" i="146"/>
  <c r="E76" i="146"/>
  <c r="E79" i="146" s="1"/>
  <c r="C76" i="146"/>
  <c r="G75" i="146"/>
  <c r="G80" i="146" s="1"/>
  <c r="F75" i="146"/>
  <c r="D75" i="146"/>
  <c r="C75" i="146"/>
  <c r="H74" i="146"/>
  <c r="E74" i="146"/>
  <c r="E75" i="146" s="1"/>
  <c r="H75" i="146" s="1"/>
  <c r="G72" i="146"/>
  <c r="F72" i="146"/>
  <c r="F73" i="146" s="1"/>
  <c r="D72" i="146"/>
  <c r="C72" i="146"/>
  <c r="E71" i="146"/>
  <c r="E72" i="146" s="1"/>
  <c r="H70" i="146"/>
  <c r="E70" i="146"/>
  <c r="G69" i="146"/>
  <c r="G73" i="146" s="1"/>
  <c r="F69" i="146"/>
  <c r="D69" i="146"/>
  <c r="D73" i="146" s="1"/>
  <c r="C69" i="146"/>
  <c r="C73" i="146" s="1"/>
  <c r="H68" i="146"/>
  <c r="E68" i="146"/>
  <c r="E67" i="146"/>
  <c r="H67" i="146" s="1"/>
  <c r="H66" i="146"/>
  <c r="E66" i="146"/>
  <c r="E69" i="146" s="1"/>
  <c r="H69" i="146" s="1"/>
  <c r="G65" i="146"/>
  <c r="F65" i="146"/>
  <c r="D65" i="146"/>
  <c r="C65" i="146"/>
  <c r="H64" i="146"/>
  <c r="E64" i="146"/>
  <c r="E63" i="146"/>
  <c r="H63" i="146" s="1"/>
  <c r="H62" i="146"/>
  <c r="E62" i="146"/>
  <c r="E61" i="146"/>
  <c r="H61" i="146" s="1"/>
  <c r="H60" i="146"/>
  <c r="E60" i="146"/>
  <c r="E59" i="146"/>
  <c r="H59" i="146" s="1"/>
  <c r="H58" i="146"/>
  <c r="E58" i="146"/>
  <c r="E57" i="146"/>
  <c r="H57" i="146" s="1"/>
  <c r="H56" i="146"/>
  <c r="E56" i="146"/>
  <c r="E55" i="146"/>
  <c r="H55" i="146" s="1"/>
  <c r="H54" i="146"/>
  <c r="E54" i="146"/>
  <c r="E53" i="146"/>
  <c r="E65" i="146" s="1"/>
  <c r="H65" i="146" s="1"/>
  <c r="G52" i="146"/>
  <c r="F52" i="146"/>
  <c r="D52" i="146"/>
  <c r="C52" i="146"/>
  <c r="E51" i="146"/>
  <c r="H51" i="146" s="1"/>
  <c r="H50" i="146"/>
  <c r="E50" i="146"/>
  <c r="E49" i="146"/>
  <c r="H49" i="146" s="1"/>
  <c r="H48" i="146"/>
  <c r="E48" i="146"/>
  <c r="G43" i="146"/>
  <c r="F43" i="146"/>
  <c r="D43" i="146"/>
  <c r="C43" i="146"/>
  <c r="H42" i="146"/>
  <c r="E42" i="146"/>
  <c r="E41" i="146"/>
  <c r="H41" i="146" s="1"/>
  <c r="H40" i="146"/>
  <c r="E40" i="146"/>
  <c r="E39" i="146"/>
  <c r="H39" i="146" s="1"/>
  <c r="H38" i="146"/>
  <c r="E38" i="146"/>
  <c r="E37" i="146"/>
  <c r="H37" i="146" s="1"/>
  <c r="H36" i="146"/>
  <c r="E36" i="146"/>
  <c r="E35" i="146"/>
  <c r="H35" i="146" s="1"/>
  <c r="H34" i="146"/>
  <c r="E34" i="146"/>
  <c r="E33" i="146"/>
  <c r="H33" i="146" s="1"/>
  <c r="H32" i="146"/>
  <c r="E32" i="146"/>
  <c r="E31" i="146"/>
  <c r="H31" i="146" s="1"/>
  <c r="H30" i="146"/>
  <c r="E30" i="146"/>
  <c r="E29" i="146"/>
  <c r="H29" i="146" s="1"/>
  <c r="H28" i="146"/>
  <c r="E28" i="146"/>
  <c r="E27" i="146"/>
  <c r="H27" i="146" s="1"/>
  <c r="H26" i="146"/>
  <c r="E26" i="146"/>
  <c r="E25" i="146"/>
  <c r="E43" i="146" s="1"/>
  <c r="H43" i="146" s="1"/>
  <c r="F24" i="146"/>
  <c r="F100" i="146" s="1"/>
  <c r="D24" i="146"/>
  <c r="C24" i="146"/>
  <c r="E23" i="146"/>
  <c r="H23" i="146" s="1"/>
  <c r="H22" i="146"/>
  <c r="E22" i="146"/>
  <c r="E21" i="146"/>
  <c r="H21" i="146" s="1"/>
  <c r="H20" i="146"/>
  <c r="E20" i="146"/>
  <c r="E19" i="146"/>
  <c r="H19" i="146" s="1"/>
  <c r="H18" i="146"/>
  <c r="G18" i="146"/>
  <c r="E18" i="146"/>
  <c r="H17" i="146"/>
  <c r="G17" i="146"/>
  <c r="E17" i="146"/>
  <c r="G16" i="146"/>
  <c r="E16" i="146"/>
  <c r="H16" i="146" s="1"/>
  <c r="G15" i="146"/>
  <c r="E15" i="146"/>
  <c r="H15" i="146" s="1"/>
  <c r="H14" i="146"/>
  <c r="E14" i="146"/>
  <c r="E13" i="146"/>
  <c r="H13" i="146" s="1"/>
  <c r="H12" i="146"/>
  <c r="G12" i="146"/>
  <c r="E12" i="146"/>
  <c r="H11" i="146"/>
  <c r="E11" i="146"/>
  <c r="E10" i="146"/>
  <c r="H10" i="146" s="1"/>
  <c r="H9" i="146"/>
  <c r="H24" i="146" s="1"/>
  <c r="G9" i="146"/>
  <c r="G24" i="146" s="1"/>
  <c r="E9" i="146"/>
  <c r="H72" i="149" l="1"/>
  <c r="E101" i="149"/>
  <c r="H101" i="149" s="1"/>
  <c r="E81" i="148"/>
  <c r="H81" i="148" s="1"/>
  <c r="H74" i="148"/>
  <c r="E100" i="148"/>
  <c r="H99" i="148"/>
  <c r="H100" i="148" s="1"/>
  <c r="E72" i="148"/>
  <c r="H72" i="146"/>
  <c r="E73" i="146"/>
  <c r="H73" i="146" s="1"/>
  <c r="H79" i="146"/>
  <c r="E80" i="146"/>
  <c r="H80" i="146" s="1"/>
  <c r="H83" i="146"/>
  <c r="H86" i="146" s="1"/>
  <c r="E86" i="146"/>
  <c r="G100" i="146"/>
  <c r="E24" i="146"/>
  <c r="E52" i="146"/>
  <c r="H52" i="146" s="1"/>
  <c r="H25" i="146"/>
  <c r="H53" i="146"/>
  <c r="H71" i="146"/>
  <c r="E96" i="146"/>
  <c r="H96" i="146" s="1"/>
  <c r="E98" i="146"/>
  <c r="H81" i="146"/>
  <c r="F99" i="145"/>
  <c r="C99" i="145"/>
  <c r="G98" i="145"/>
  <c r="F98" i="145"/>
  <c r="D98" i="145"/>
  <c r="D99" i="145" s="1"/>
  <c r="D100" i="145" s="1"/>
  <c r="C98" i="145"/>
  <c r="E97" i="145"/>
  <c r="H97" i="145" s="1"/>
  <c r="G96" i="145"/>
  <c r="F96" i="145"/>
  <c r="D96" i="145"/>
  <c r="C96" i="145"/>
  <c r="E95" i="145"/>
  <c r="H95" i="145" s="1"/>
  <c r="H94" i="145"/>
  <c r="E94" i="145"/>
  <c r="E93" i="145"/>
  <c r="H93" i="145" s="1"/>
  <c r="H92" i="145"/>
  <c r="E92" i="145"/>
  <c r="E91" i="145"/>
  <c r="H91" i="145" s="1"/>
  <c r="D86" i="145"/>
  <c r="G85" i="145"/>
  <c r="F85" i="145"/>
  <c r="D85" i="145"/>
  <c r="C85" i="145"/>
  <c r="H84" i="145"/>
  <c r="E84" i="145"/>
  <c r="E85" i="145" s="1"/>
  <c r="H85" i="145" s="1"/>
  <c r="G83" i="145"/>
  <c r="G86" i="145" s="1"/>
  <c r="F83" i="145"/>
  <c r="F86" i="145" s="1"/>
  <c r="D83" i="145"/>
  <c r="C83" i="145"/>
  <c r="C86" i="145" s="1"/>
  <c r="H82" i="145"/>
  <c r="E82" i="145"/>
  <c r="E81" i="145"/>
  <c r="E83" i="145" s="1"/>
  <c r="D80" i="145"/>
  <c r="G79" i="145"/>
  <c r="F79" i="145"/>
  <c r="F80" i="145" s="1"/>
  <c r="D79" i="145"/>
  <c r="C79" i="145"/>
  <c r="C80" i="145" s="1"/>
  <c r="H78" i="145"/>
  <c r="E78" i="145"/>
  <c r="E77" i="145"/>
  <c r="H77" i="145" s="1"/>
  <c r="H76" i="145"/>
  <c r="E76" i="145"/>
  <c r="E79" i="145" s="1"/>
  <c r="C76" i="145"/>
  <c r="G75" i="145"/>
  <c r="G80" i="145" s="1"/>
  <c r="F75" i="145"/>
  <c r="D75" i="145"/>
  <c r="C75" i="145"/>
  <c r="H74" i="145"/>
  <c r="E74" i="145"/>
  <c r="E75" i="145" s="1"/>
  <c r="H75" i="145" s="1"/>
  <c r="G72" i="145"/>
  <c r="F72" i="145"/>
  <c r="F73" i="145" s="1"/>
  <c r="D72" i="145"/>
  <c r="C72" i="145"/>
  <c r="E71" i="145"/>
  <c r="E72" i="145" s="1"/>
  <c r="H70" i="145"/>
  <c r="E70" i="145"/>
  <c r="G69" i="145"/>
  <c r="G73" i="145" s="1"/>
  <c r="F69" i="145"/>
  <c r="D69" i="145"/>
  <c r="D73" i="145" s="1"/>
  <c r="C69" i="145"/>
  <c r="C73" i="145" s="1"/>
  <c r="H68" i="145"/>
  <c r="E68" i="145"/>
  <c r="E67" i="145"/>
  <c r="H67" i="145" s="1"/>
  <c r="H66" i="145"/>
  <c r="E66" i="145"/>
  <c r="E69" i="145" s="1"/>
  <c r="H69" i="145" s="1"/>
  <c r="G65" i="145"/>
  <c r="F65" i="145"/>
  <c r="D65" i="145"/>
  <c r="C65" i="145"/>
  <c r="H64" i="145"/>
  <c r="E64" i="145"/>
  <c r="E63" i="145"/>
  <c r="H63" i="145" s="1"/>
  <c r="H62" i="145"/>
  <c r="E62" i="145"/>
  <c r="E61" i="145"/>
  <c r="H61" i="145" s="1"/>
  <c r="H60" i="145"/>
  <c r="E60" i="145"/>
  <c r="E59" i="145"/>
  <c r="H59" i="145" s="1"/>
  <c r="H58" i="145"/>
  <c r="E58" i="145"/>
  <c r="E57" i="145"/>
  <c r="H57" i="145" s="1"/>
  <c r="H56" i="145"/>
  <c r="E56" i="145"/>
  <c r="E55" i="145"/>
  <c r="H55" i="145" s="1"/>
  <c r="H54" i="145"/>
  <c r="E54" i="145"/>
  <c r="E53" i="145"/>
  <c r="E65" i="145" s="1"/>
  <c r="H65" i="145" s="1"/>
  <c r="G52" i="145"/>
  <c r="F52" i="145"/>
  <c r="D52" i="145"/>
  <c r="C52" i="145"/>
  <c r="E51" i="145"/>
  <c r="H51" i="145" s="1"/>
  <c r="H50" i="145"/>
  <c r="E50" i="145"/>
  <c r="E49" i="145"/>
  <c r="E52" i="145" s="1"/>
  <c r="H52" i="145" s="1"/>
  <c r="H48" i="145"/>
  <c r="E48" i="145"/>
  <c r="G43" i="145"/>
  <c r="F43" i="145"/>
  <c r="D43" i="145"/>
  <c r="C43" i="145"/>
  <c r="H42" i="145"/>
  <c r="E42" i="145"/>
  <c r="E41" i="145"/>
  <c r="H41" i="145" s="1"/>
  <c r="H40" i="145"/>
  <c r="E40" i="145"/>
  <c r="E39" i="145"/>
  <c r="H39" i="145" s="1"/>
  <c r="H38" i="145"/>
  <c r="E38" i="145"/>
  <c r="E37" i="145"/>
  <c r="H37" i="145" s="1"/>
  <c r="H36" i="145"/>
  <c r="E36" i="145"/>
  <c r="E35" i="145"/>
  <c r="H35" i="145" s="1"/>
  <c r="H34" i="145"/>
  <c r="E34" i="145"/>
  <c r="E33" i="145"/>
  <c r="H33" i="145" s="1"/>
  <c r="H32" i="145"/>
  <c r="E32" i="145"/>
  <c r="E31" i="145"/>
  <c r="H31" i="145" s="1"/>
  <c r="H30" i="145"/>
  <c r="E30" i="145"/>
  <c r="E29" i="145"/>
  <c r="H29" i="145" s="1"/>
  <c r="H28" i="145"/>
  <c r="E28" i="145"/>
  <c r="E27" i="145"/>
  <c r="H27" i="145" s="1"/>
  <c r="H26" i="145"/>
  <c r="E26" i="145"/>
  <c r="E25" i="145"/>
  <c r="E43" i="145" s="1"/>
  <c r="H43" i="145" s="1"/>
  <c r="G24" i="145"/>
  <c r="G100" i="145" s="1"/>
  <c r="F24" i="145"/>
  <c r="D24" i="145"/>
  <c r="C24" i="145"/>
  <c r="E23" i="145"/>
  <c r="H23" i="145" s="1"/>
  <c r="H22" i="145"/>
  <c r="E22" i="145"/>
  <c r="E21" i="145"/>
  <c r="H21" i="145" s="1"/>
  <c r="H20" i="145"/>
  <c r="E20" i="145"/>
  <c r="E19" i="145"/>
  <c r="H19" i="145" s="1"/>
  <c r="H18" i="145"/>
  <c r="E18" i="145"/>
  <c r="E17" i="145"/>
  <c r="H17" i="145" s="1"/>
  <c r="H16" i="145"/>
  <c r="E16" i="145"/>
  <c r="E15" i="145"/>
  <c r="H15" i="145" s="1"/>
  <c r="H14" i="145"/>
  <c r="E14" i="145"/>
  <c r="E13" i="145"/>
  <c r="H13" i="145" s="1"/>
  <c r="H12" i="145"/>
  <c r="E12" i="145"/>
  <c r="E11" i="145"/>
  <c r="H11" i="145" s="1"/>
  <c r="H10" i="145"/>
  <c r="E10" i="145"/>
  <c r="E9" i="145"/>
  <c r="H9" i="145" s="1"/>
  <c r="H72" i="148" l="1"/>
  <c r="E101" i="148"/>
  <c r="H101" i="148" s="1"/>
  <c r="E99" i="146"/>
  <c r="E100" i="146" s="1"/>
  <c r="H100" i="146" s="1"/>
  <c r="H98" i="146"/>
  <c r="H99" i="146" s="1"/>
  <c r="H83" i="145"/>
  <c r="H86" i="145" s="1"/>
  <c r="E86" i="145"/>
  <c r="H24" i="145"/>
  <c r="F100" i="145"/>
  <c r="H72" i="145"/>
  <c r="E73" i="145"/>
  <c r="H73" i="145" s="1"/>
  <c r="H79" i="145"/>
  <c r="E80" i="145"/>
  <c r="H80" i="145" s="1"/>
  <c r="C100" i="145"/>
  <c r="H25" i="145"/>
  <c r="H49" i="145"/>
  <c r="H53" i="145"/>
  <c r="H71" i="145"/>
  <c r="E96" i="145"/>
  <c r="H96" i="145" s="1"/>
  <c r="E98" i="145"/>
  <c r="H81" i="145"/>
  <c r="E24" i="145"/>
  <c r="G98" i="144"/>
  <c r="F98" i="144"/>
  <c r="F99" i="144" s="1"/>
  <c r="D98" i="144"/>
  <c r="C98" i="144"/>
  <c r="E97" i="144"/>
  <c r="H97" i="144" s="1"/>
  <c r="G96" i="144"/>
  <c r="F96" i="144"/>
  <c r="D96" i="144"/>
  <c r="D99" i="144" s="1"/>
  <c r="C96" i="144"/>
  <c r="C99" i="144" s="1"/>
  <c r="C100" i="144" s="1"/>
  <c r="E95" i="144"/>
  <c r="H95" i="144" s="1"/>
  <c r="E94" i="144"/>
  <c r="H94" i="144" s="1"/>
  <c r="E93" i="144"/>
  <c r="H93" i="144" s="1"/>
  <c r="E92" i="144"/>
  <c r="H92" i="144" s="1"/>
  <c r="E91" i="144"/>
  <c r="H91" i="144" s="1"/>
  <c r="G86" i="144"/>
  <c r="C86" i="144"/>
  <c r="G85" i="144"/>
  <c r="F85" i="144"/>
  <c r="D85" i="144"/>
  <c r="C85" i="144"/>
  <c r="E84" i="144"/>
  <c r="H84" i="144" s="1"/>
  <c r="G83" i="144"/>
  <c r="F83" i="144"/>
  <c r="F86" i="144" s="1"/>
  <c r="D83" i="144"/>
  <c r="D86" i="144" s="1"/>
  <c r="C83" i="144"/>
  <c r="E82" i="144"/>
  <c r="H82" i="144" s="1"/>
  <c r="E81" i="144"/>
  <c r="H81" i="144" s="1"/>
  <c r="G80" i="144"/>
  <c r="C80" i="144"/>
  <c r="G79" i="144"/>
  <c r="F79" i="144"/>
  <c r="F80" i="144" s="1"/>
  <c r="D79" i="144"/>
  <c r="C79" i="144"/>
  <c r="E78" i="144"/>
  <c r="H78" i="144" s="1"/>
  <c r="E77" i="144"/>
  <c r="H77" i="144" s="1"/>
  <c r="E76" i="144"/>
  <c r="H76" i="144" s="1"/>
  <c r="C76" i="144"/>
  <c r="G75" i="144"/>
  <c r="F75" i="144"/>
  <c r="D75" i="144"/>
  <c r="D80" i="144" s="1"/>
  <c r="C75" i="144"/>
  <c r="H74" i="144"/>
  <c r="E74" i="144"/>
  <c r="E75" i="144" s="1"/>
  <c r="H75" i="144" s="1"/>
  <c r="G72" i="144"/>
  <c r="G73" i="144" s="1"/>
  <c r="F72" i="144"/>
  <c r="D72" i="144"/>
  <c r="D73" i="144" s="1"/>
  <c r="C72" i="144"/>
  <c r="C73" i="144" s="1"/>
  <c r="H71" i="144"/>
  <c r="E71" i="144"/>
  <c r="H70" i="144"/>
  <c r="E70" i="144"/>
  <c r="E72" i="144" s="1"/>
  <c r="G69" i="144"/>
  <c r="F69" i="144"/>
  <c r="F73" i="144" s="1"/>
  <c r="D69" i="144"/>
  <c r="C69" i="144"/>
  <c r="H68" i="144"/>
  <c r="E68" i="144"/>
  <c r="H67" i="144"/>
  <c r="E67" i="144"/>
  <c r="H66" i="144"/>
  <c r="E66" i="144"/>
  <c r="E69" i="144" s="1"/>
  <c r="H69" i="144" s="1"/>
  <c r="G65" i="144"/>
  <c r="F65" i="144"/>
  <c r="D65" i="144"/>
  <c r="C65" i="144"/>
  <c r="H64" i="144"/>
  <c r="E64" i="144"/>
  <c r="H63" i="144"/>
  <c r="E63" i="144"/>
  <c r="H62" i="144"/>
  <c r="E62" i="144"/>
  <c r="H61" i="144"/>
  <c r="E61" i="144"/>
  <c r="H60" i="144"/>
  <c r="E60" i="144"/>
  <c r="H59" i="144"/>
  <c r="E59" i="144"/>
  <c r="H58" i="144"/>
  <c r="E58" i="144"/>
  <c r="H57" i="144"/>
  <c r="E57" i="144"/>
  <c r="H56" i="144"/>
  <c r="E56" i="144"/>
  <c r="H55" i="144"/>
  <c r="E55" i="144"/>
  <c r="H54" i="144"/>
  <c r="E54" i="144"/>
  <c r="H53" i="144"/>
  <c r="E53" i="144"/>
  <c r="E65" i="144" s="1"/>
  <c r="H65" i="144" s="1"/>
  <c r="G52" i="144"/>
  <c r="F52" i="144"/>
  <c r="D52" i="144"/>
  <c r="C52" i="144"/>
  <c r="H51" i="144"/>
  <c r="E51" i="144"/>
  <c r="H50" i="144"/>
  <c r="E50" i="144"/>
  <c r="H49" i="144"/>
  <c r="E49" i="144"/>
  <c r="H48" i="144"/>
  <c r="E48" i="144"/>
  <c r="E52" i="144" s="1"/>
  <c r="H52" i="144" s="1"/>
  <c r="G43" i="144"/>
  <c r="F43" i="144"/>
  <c r="D43" i="144"/>
  <c r="C43" i="144"/>
  <c r="H42" i="144"/>
  <c r="E42" i="144"/>
  <c r="H41" i="144"/>
  <c r="E41" i="144"/>
  <c r="H40" i="144"/>
  <c r="E40" i="144"/>
  <c r="H39" i="144"/>
  <c r="E39" i="144"/>
  <c r="H38" i="144"/>
  <c r="E38" i="144"/>
  <c r="H37" i="144"/>
  <c r="E37" i="144"/>
  <c r="H36" i="144"/>
  <c r="E36" i="144"/>
  <c r="H35" i="144"/>
  <c r="E35" i="144"/>
  <c r="H34" i="144"/>
  <c r="E34" i="144"/>
  <c r="H33" i="144"/>
  <c r="E33" i="144"/>
  <c r="H32" i="144"/>
  <c r="E32" i="144"/>
  <c r="H31" i="144"/>
  <c r="E31" i="144"/>
  <c r="H30" i="144"/>
  <c r="E30" i="144"/>
  <c r="H29" i="144"/>
  <c r="E29" i="144"/>
  <c r="H28" i="144"/>
  <c r="E28" i="144"/>
  <c r="H27" i="144"/>
  <c r="E27" i="144"/>
  <c r="H26" i="144"/>
  <c r="E26" i="144"/>
  <c r="H25" i="144"/>
  <c r="E25" i="144"/>
  <c r="E43" i="144" s="1"/>
  <c r="H43" i="144" s="1"/>
  <c r="G24" i="144"/>
  <c r="G100" i="144" s="1"/>
  <c r="F24" i="144"/>
  <c r="D24" i="144"/>
  <c r="C24" i="144"/>
  <c r="H23" i="144"/>
  <c r="E23" i="144"/>
  <c r="H22" i="144"/>
  <c r="E22" i="144"/>
  <c r="H21" i="144"/>
  <c r="E21" i="144"/>
  <c r="H20" i="144"/>
  <c r="E20" i="144"/>
  <c r="H19" i="144"/>
  <c r="E19" i="144"/>
  <c r="H18" i="144"/>
  <c r="E18" i="144"/>
  <c r="H17" i="144"/>
  <c r="E17" i="144"/>
  <c r="H16" i="144"/>
  <c r="E16" i="144"/>
  <c r="H15" i="144"/>
  <c r="E15" i="144"/>
  <c r="H14" i="144"/>
  <c r="E14" i="144"/>
  <c r="H13" i="144"/>
  <c r="E13" i="144"/>
  <c r="H12" i="144"/>
  <c r="E12" i="144"/>
  <c r="H11" i="144"/>
  <c r="E11" i="144"/>
  <c r="H10" i="144"/>
  <c r="H24" i="144" s="1"/>
  <c r="E10" i="144"/>
  <c r="H9" i="144"/>
  <c r="E9" i="144"/>
  <c r="E24" i="144" s="1"/>
  <c r="E99" i="145" l="1"/>
  <c r="E100" i="145" s="1"/>
  <c r="H100" i="145" s="1"/>
  <c r="H98" i="145"/>
  <c r="H99" i="145" s="1"/>
  <c r="D100" i="144"/>
  <c r="F100" i="144"/>
  <c r="E73" i="144"/>
  <c r="H73" i="144" s="1"/>
  <c r="H72" i="144"/>
  <c r="E79" i="144"/>
  <c r="E83" i="144"/>
  <c r="E85" i="144"/>
  <c r="H85" i="144" s="1"/>
  <c r="E96" i="144"/>
  <c r="H96" i="144" s="1"/>
  <c r="E98" i="144"/>
  <c r="F86" i="143"/>
  <c r="E57" i="143"/>
  <c r="H57" i="143" s="1"/>
  <c r="H98" i="144" l="1"/>
  <c r="H99" i="144" s="1"/>
  <c r="E99" i="144"/>
  <c r="H79" i="144"/>
  <c r="E80" i="144"/>
  <c r="H83" i="144"/>
  <c r="H86" i="144" s="1"/>
  <c r="E86" i="144"/>
  <c r="E59" i="143"/>
  <c r="H59" i="143" s="1"/>
  <c r="C24" i="143"/>
  <c r="C76" i="143"/>
  <c r="H80" i="144" l="1"/>
  <c r="E100" i="144"/>
  <c r="H100" i="144" s="1"/>
  <c r="E12" i="143"/>
  <c r="H12" i="143" s="1"/>
  <c r="E97" i="143" l="1"/>
  <c r="E95" i="143"/>
  <c r="E94" i="143"/>
  <c r="E93" i="143"/>
  <c r="E92" i="143"/>
  <c r="E91" i="143"/>
  <c r="E84" i="143"/>
  <c r="E82" i="143"/>
  <c r="E81" i="143"/>
  <c r="E78" i="143"/>
  <c r="E77" i="143"/>
  <c r="E76" i="143"/>
  <c r="E74" i="143"/>
  <c r="E71" i="143"/>
  <c r="E70" i="143"/>
  <c r="E68" i="143"/>
  <c r="E67" i="143"/>
  <c r="E66" i="143"/>
  <c r="E64" i="143"/>
  <c r="E63" i="143"/>
  <c r="E62" i="143"/>
  <c r="E61" i="143"/>
  <c r="E60" i="143"/>
  <c r="E58" i="143"/>
  <c r="E56" i="143"/>
  <c r="E55" i="143"/>
  <c r="E54" i="143"/>
  <c r="E53" i="143"/>
  <c r="E51" i="143"/>
  <c r="E50" i="143"/>
  <c r="E49" i="143"/>
  <c r="E48" i="143"/>
  <c r="E42" i="143"/>
  <c r="E41" i="143"/>
  <c r="E40" i="143"/>
  <c r="E39" i="143"/>
  <c r="E38" i="143"/>
  <c r="E37" i="143"/>
  <c r="E36" i="143"/>
  <c r="E35" i="143"/>
  <c r="E34" i="143"/>
  <c r="E33" i="143"/>
  <c r="E32" i="143"/>
  <c r="E31" i="143"/>
  <c r="E30" i="143"/>
  <c r="E29" i="143"/>
  <c r="E28" i="143"/>
  <c r="E27" i="143"/>
  <c r="E26" i="143"/>
  <c r="E25" i="143"/>
  <c r="E23" i="143"/>
  <c r="E22" i="143"/>
  <c r="E21" i="143"/>
  <c r="E20" i="143"/>
  <c r="E19" i="143"/>
  <c r="E18" i="143"/>
  <c r="E17" i="143"/>
  <c r="E16" i="143"/>
  <c r="E15" i="143"/>
  <c r="E14" i="143"/>
  <c r="E13" i="143"/>
  <c r="E11" i="143"/>
  <c r="E10" i="143"/>
  <c r="C96" i="143"/>
  <c r="D83" i="143" l="1"/>
  <c r="C69" i="143"/>
  <c r="E85" i="143"/>
  <c r="E43" i="143"/>
  <c r="E52" i="143"/>
  <c r="E98" i="143"/>
  <c r="E96" i="143"/>
  <c r="E83" i="143"/>
  <c r="E79" i="143"/>
  <c r="E75" i="143"/>
  <c r="E72" i="143"/>
  <c r="E69" i="143"/>
  <c r="E65" i="143"/>
  <c r="C43" i="143"/>
  <c r="C52" i="143"/>
  <c r="C65" i="143"/>
  <c r="C72" i="143"/>
  <c r="C83" i="143"/>
  <c r="F52" i="143"/>
  <c r="D72" i="143"/>
  <c r="D69" i="143"/>
  <c r="D65" i="143"/>
  <c r="D43" i="143"/>
  <c r="D52" i="143"/>
  <c r="D24" i="143"/>
  <c r="C98" i="143"/>
  <c r="C85" i="143"/>
  <c r="C79" i="143"/>
  <c r="C75" i="143"/>
  <c r="F65" i="143"/>
  <c r="F85" i="143"/>
  <c r="F83" i="143"/>
  <c r="G24" i="143"/>
  <c r="F24" i="143"/>
  <c r="G75" i="143"/>
  <c r="G79" i="143"/>
  <c r="G43" i="143"/>
  <c r="G72" i="143"/>
  <c r="G69" i="143"/>
  <c r="G65" i="143"/>
  <c r="G52" i="143"/>
  <c r="F98" i="143"/>
  <c r="F96" i="143"/>
  <c r="F79" i="143"/>
  <c r="F75" i="143"/>
  <c r="F72" i="143"/>
  <c r="F69" i="143"/>
  <c r="F43" i="143"/>
  <c r="D98" i="143"/>
  <c r="D96" i="143"/>
  <c r="D85" i="143"/>
  <c r="D75" i="143"/>
  <c r="D79" i="143"/>
  <c r="H10" i="143"/>
  <c r="H11" i="143"/>
  <c r="H13" i="143"/>
  <c r="H14" i="143"/>
  <c r="H15" i="143"/>
  <c r="H16" i="143"/>
  <c r="H17" i="143"/>
  <c r="H18" i="143"/>
  <c r="H19" i="143"/>
  <c r="H20" i="143"/>
  <c r="H21" i="143"/>
  <c r="H22" i="143"/>
  <c r="H23" i="143"/>
  <c r="H25" i="143"/>
  <c r="H26" i="143"/>
  <c r="H27" i="143"/>
  <c r="H28" i="143"/>
  <c r="H29" i="143"/>
  <c r="H30" i="143"/>
  <c r="H31" i="143"/>
  <c r="H32" i="143"/>
  <c r="H33" i="143"/>
  <c r="H34" i="143"/>
  <c r="H35" i="143"/>
  <c r="H36" i="143"/>
  <c r="H37" i="143"/>
  <c r="H38" i="143"/>
  <c r="H39" i="143"/>
  <c r="H40" i="143"/>
  <c r="H41" i="143"/>
  <c r="H42" i="143"/>
  <c r="H48" i="143"/>
  <c r="H49" i="143"/>
  <c r="H50" i="143"/>
  <c r="H51" i="143"/>
  <c r="H53" i="143"/>
  <c r="H54" i="143"/>
  <c r="H55" i="143"/>
  <c r="H56" i="143"/>
  <c r="H58" i="143"/>
  <c r="H60" i="143"/>
  <c r="H61" i="143"/>
  <c r="H62" i="143"/>
  <c r="H63" i="143"/>
  <c r="H64" i="143"/>
  <c r="H66" i="143"/>
  <c r="H67" i="143"/>
  <c r="H68" i="143"/>
  <c r="H70" i="143"/>
  <c r="H71" i="143"/>
  <c r="H74" i="143"/>
  <c r="H76" i="143"/>
  <c r="H77" i="143"/>
  <c r="H78" i="143"/>
  <c r="H81" i="143"/>
  <c r="H82" i="143"/>
  <c r="G83" i="143"/>
  <c r="H84" i="143"/>
  <c r="G85" i="143"/>
  <c r="H91" i="143"/>
  <c r="H92" i="143"/>
  <c r="H93" i="143"/>
  <c r="H94" i="143"/>
  <c r="H95" i="143"/>
  <c r="G96" i="143"/>
  <c r="H97" i="143"/>
  <c r="G98" i="143"/>
  <c r="H24" i="143" l="1"/>
  <c r="G86" i="143"/>
  <c r="C86" i="143"/>
  <c r="H72" i="143"/>
  <c r="H85" i="143"/>
  <c r="E86" i="143"/>
  <c r="D86" i="143"/>
  <c r="F99" i="143"/>
  <c r="D99" i="143"/>
  <c r="H98" i="143"/>
  <c r="H96" i="143"/>
  <c r="H69" i="143"/>
  <c r="E80" i="143"/>
  <c r="E99" i="143"/>
  <c r="G80" i="143"/>
  <c r="C80" i="143"/>
  <c r="C73" i="143"/>
  <c r="D73" i="143"/>
  <c r="H79" i="143"/>
  <c r="H52" i="143"/>
  <c r="E73" i="143"/>
  <c r="G73" i="143"/>
  <c r="H65" i="143"/>
  <c r="C99" i="143"/>
  <c r="H43" i="143"/>
  <c r="D80" i="143"/>
  <c r="H75" i="143"/>
  <c r="H83" i="143"/>
  <c r="H86" i="143" s="1"/>
  <c r="F73" i="143"/>
  <c r="F80" i="143"/>
  <c r="E24" i="143"/>
  <c r="H99" i="143" l="1"/>
  <c r="D100" i="143"/>
  <c r="C100" i="143"/>
  <c r="G100" i="143"/>
  <c r="F100" i="143"/>
  <c r="H73" i="143"/>
  <c r="H80" i="143"/>
  <c r="E100" i="143"/>
  <c r="H100" i="143" l="1"/>
</calcChain>
</file>

<file path=xl/sharedStrings.xml><?xml version="1.0" encoding="utf-8"?>
<sst xmlns="http://schemas.openxmlformats.org/spreadsheetml/2006/main" count="1257" uniqueCount="94">
  <si>
    <t>CODIGO</t>
  </si>
  <si>
    <t>OBJETO ESPECIFICO</t>
  </si>
  <si>
    <t>TOTAL</t>
  </si>
  <si>
    <t>Sueldos permanentes</t>
  </si>
  <si>
    <t>Aguinaldos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</si>
  <si>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</si>
  <si>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</si>
  <si>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</si>
  <si>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</si>
  <si>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</si>
  <si>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</si>
  <si>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</si>
  <si>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</si>
  <si>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</si>
  <si>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</si>
  <si>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</si>
  <si>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</si>
  <si>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</si>
  <si>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</si>
  <si>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</si>
  <si>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</si>
  <si>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</si>
  <si>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</si>
  <si>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</si>
  <si>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</si>
  <si>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</si>
  <si>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</si>
  <si>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</si>
  <si>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</si>
  <si>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</si>
  <si>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</si>
  <si>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</si>
  <si>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</si>
  <si>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</si>
  <si>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</si>
  <si>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</si>
  <si>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</si>
  <si>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</si>
  <si>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limpiezas y fumigaciones</t>
  </si>
  <si>
    <t>impresiones, publicaciones y reproducciones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</si>
  <si>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</si>
  <si>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</si>
  <si>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</si>
  <si>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</si>
  <si>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</si>
  <si>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</si>
  <si>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</si>
  <si>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impuesto, tasas y derechos diversos</t>
  </si>
  <si>
    <t>Primas y Gastos de Seguros de personas</t>
  </si>
  <si>
    <t>Primas y Gastos de Seguros de Bienes</t>
  </si>
  <si>
    <t>Procuraduría para la Defensa de los Derechos Humanos</t>
  </si>
  <si>
    <t xml:space="preserve">Unidad Financiera Institucional </t>
  </si>
  <si>
    <t>Atenciones Oficiales</t>
  </si>
  <si>
    <t>COMPROMETIDO</t>
  </si>
  <si>
    <t>DISPONIBLE</t>
  </si>
  <si>
    <t>APROBADO</t>
  </si>
  <si>
    <t>Total Cuenta ….</t>
  </si>
  <si>
    <t>Mobiliarios</t>
  </si>
  <si>
    <t>Remuneraciones Diversas</t>
  </si>
  <si>
    <t>Modificado</t>
  </si>
  <si>
    <t>Equipos Informàticos</t>
  </si>
  <si>
    <t>INFORME MENSUAL DE EJECUCION PRESUPUESTARIA</t>
  </si>
  <si>
    <t>Departamento de Presupuesto</t>
  </si>
  <si>
    <t>Modificaciones</t>
  </si>
  <si>
    <t>Maquinarias y Equipos</t>
  </si>
  <si>
    <t>Equipos Mèdicos y de Laboratorio</t>
  </si>
  <si>
    <t>Consultorias, Estudios e Investigaciones Div.</t>
  </si>
  <si>
    <t>Prestaciones Sociales al Personal</t>
  </si>
  <si>
    <t>A Organismos sin fines de lucro</t>
  </si>
  <si>
    <t>CONGELAMIENTO</t>
  </si>
  <si>
    <t>MODIFICADO</t>
  </si>
  <si>
    <t>Al Personal de Servicios Permanentes</t>
  </si>
  <si>
    <t>Comisiones y Gastos Bancarios</t>
  </si>
  <si>
    <t>A Organismos Multilaterales</t>
  </si>
  <si>
    <t>Beneficios Adicionales</t>
  </si>
  <si>
    <t>Derechos de Propieda Intelectual</t>
  </si>
  <si>
    <t>A Personas Naturales</t>
  </si>
  <si>
    <t>AL 31 DE ENERO DE 2019</t>
  </si>
  <si>
    <t>Servicios de Vigilancia</t>
  </si>
  <si>
    <t>Servicios de Lavanderia y Planchado</t>
  </si>
  <si>
    <t>AL 28 DE FEBRERO DE 2019</t>
  </si>
  <si>
    <t>Al Personal de Servicios Eventuales</t>
  </si>
  <si>
    <t>Derechos de Propiedad Intelectual</t>
  </si>
  <si>
    <t>AL 31 DE MARZO DE 2019</t>
  </si>
  <si>
    <t>AL 30 DE ABRIL DE 2019</t>
  </si>
  <si>
    <t>AL 31 DE MAYO DE 2019</t>
  </si>
  <si>
    <t>Multas y Costas Judiciales</t>
  </si>
  <si>
    <t>AL 30 DE JUNIO DE 2019</t>
  </si>
  <si>
    <t>AL 31 DE JULIO DE 2019</t>
  </si>
  <si>
    <t>AL 31 DE AGOSTO DE 2019</t>
  </si>
  <si>
    <t>AL 30 DE SEPTIEMBRE DE 2019</t>
  </si>
  <si>
    <t>AL 31 DE OCTUBRE DE 2019</t>
  </si>
  <si>
    <t>AL 30 DE NOVIEMBRE DE 2019</t>
  </si>
  <si>
    <t>Vehiculos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</si>
</sst>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Lucida Bright"/>
      <family val="1"/>
    </font>
    <font>
      <b/>
      <i/>
      <sz val="12"/>
      <name val="Lucida Bright"/>
      <family val="1"/>
    </font>
    <font>
      <b/>
      <sz val="11"/>
      <name val="Lucida Bright"/>
      <family val="1"/>
    </font>
    <font>
      <sz val="11"/>
      <name val="Lucida Bright"/>
      <family val="1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CC66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165" fontId="0" fillId="0" borderId="0" xfId="0" applyNumberFormat="1"/>
    <xf numFmtId="43" fontId="0" fillId="0" borderId="0" xfId="0" applyNumberForma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Fill="1" applyBorder="1"/>
    <xf numFmtId="165" fontId="1" fillId="0" borderId="0" xfId="1"/>
    <xf numFmtId="0" fontId="0" fillId="0" borderId="0" xfId="0" applyFill="1"/>
    <xf numFmtId="165" fontId="0" fillId="0" borderId="0" xfId="0" applyNumberFormat="1" applyFill="1"/>
    <xf numFmtId="0" fontId="6" fillId="0" borderId="0" xfId="0" applyFont="1" applyFill="1"/>
    <xf numFmtId="0" fontId="3" fillId="0" borderId="0" xfId="0" applyFont="1" applyFill="1" applyBorder="1" applyAlignment="1">
      <alignment horizontal="center"/>
    </xf>
    <xf numFmtId="164" fontId="6" fillId="0" borderId="1" xfId="2" applyFont="1" applyFill="1" applyBorder="1"/>
    <xf numFmtId="165" fontId="2" fillId="0" borderId="0" xfId="1" applyFont="1" applyFill="1" applyBorder="1"/>
    <xf numFmtId="0" fontId="7" fillId="0" borderId="0" xfId="0" applyFont="1"/>
    <xf numFmtId="0" fontId="10" fillId="0" borderId="0" xfId="0" applyFont="1"/>
    <xf numFmtId="164" fontId="6" fillId="0" borderId="2" xfId="2" applyFont="1" applyBorder="1"/>
    <xf numFmtId="164" fontId="6" fillId="0" borderId="5" xfId="2" applyFont="1" applyBorder="1"/>
    <xf numFmtId="164" fontId="6" fillId="0" borderId="1" xfId="2" applyFont="1" applyBorder="1"/>
    <xf numFmtId="164" fontId="6" fillId="0" borderId="6" xfId="2" applyFont="1" applyBorder="1"/>
    <xf numFmtId="165" fontId="6" fillId="0" borderId="0" xfId="0" applyNumberFormat="1" applyFont="1" applyFill="1"/>
    <xf numFmtId="164" fontId="6" fillId="0" borderId="7" xfId="2" applyFont="1" applyBorder="1"/>
    <xf numFmtId="0" fontId="4" fillId="0" borderId="1" xfId="0" applyFont="1" applyFill="1" applyBorder="1"/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2" fillId="0" borderId="1" xfId="2" applyFont="1" applyFill="1" applyBorder="1"/>
    <xf numFmtId="0" fontId="3" fillId="0" borderId="4" xfId="0" applyFont="1" applyFill="1" applyBorder="1"/>
    <xf numFmtId="0" fontId="9" fillId="0" borderId="0" xfId="0" applyFont="1" applyAlignment="1">
      <alignment horizontal="left"/>
    </xf>
    <xf numFmtId="164" fontId="2" fillId="0" borderId="7" xfId="2" applyFont="1" applyBorder="1"/>
    <xf numFmtId="164" fontId="2" fillId="0" borderId="0" xfId="2" applyFont="1" applyFill="1" applyBorder="1"/>
    <xf numFmtId="0" fontId="9" fillId="0" borderId="0" xfId="0" applyFont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164" fontId="2" fillId="0" borderId="0" xfId="2" applyFont="1" applyBorder="1"/>
    <xf numFmtId="164" fontId="3" fillId="0" borderId="9" xfId="2" applyFont="1" applyFill="1" applyBorder="1" applyAlignment="1">
      <alignment horizontal="center"/>
    </xf>
    <xf numFmtId="0" fontId="4" fillId="0" borderId="17" xfId="0" applyFont="1" applyBorder="1"/>
    <xf numFmtId="0" fontId="4" fillId="0" borderId="12" xfId="0" applyFont="1" applyBorder="1"/>
    <xf numFmtId="164" fontId="6" fillId="0" borderId="12" xfId="2" applyFont="1" applyBorder="1"/>
    <xf numFmtId="164" fontId="6" fillId="0" borderId="18" xfId="2" applyFont="1" applyBorder="1"/>
    <xf numFmtId="0" fontId="4" fillId="0" borderId="8" xfId="0" applyFont="1" applyFill="1" applyBorder="1"/>
    <xf numFmtId="0" fontId="3" fillId="0" borderId="9" xfId="0" applyFont="1" applyFill="1" applyBorder="1"/>
    <xf numFmtId="164" fontId="2" fillId="0" borderId="9" xfId="2" applyFont="1" applyFill="1" applyBorder="1"/>
    <xf numFmtId="164" fontId="2" fillId="0" borderId="10" xfId="2" applyFont="1" applyBorder="1"/>
    <xf numFmtId="0" fontId="3" fillId="0" borderId="19" xfId="0" applyFont="1" applyFill="1" applyBorder="1"/>
    <xf numFmtId="164" fontId="2" fillId="0" borderId="19" xfId="2" applyFont="1" applyFill="1" applyBorder="1"/>
    <xf numFmtId="0" fontId="3" fillId="0" borderId="12" xfId="0" applyFont="1" applyFill="1" applyBorder="1"/>
    <xf numFmtId="164" fontId="2" fillId="0" borderId="12" xfId="2" applyFont="1" applyFill="1" applyBorder="1"/>
    <xf numFmtId="0" fontId="4" fillId="0" borderId="17" xfId="0" applyFont="1" applyFill="1" applyBorder="1"/>
    <xf numFmtId="164" fontId="6" fillId="0" borderId="20" xfId="2" applyFont="1" applyBorder="1"/>
    <xf numFmtId="0" fontId="3" fillId="0" borderId="21" xfId="0" applyFont="1" applyFill="1" applyBorder="1"/>
    <xf numFmtId="0" fontId="3" fillId="0" borderId="22" xfId="0" applyFont="1" applyFill="1" applyBorder="1"/>
    <xf numFmtId="164" fontId="2" fillId="0" borderId="22" xfId="2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164" fontId="6" fillId="0" borderId="25" xfId="2" applyFont="1" applyFill="1" applyBorder="1"/>
    <xf numFmtId="164" fontId="6" fillId="0" borderId="25" xfId="2" applyFont="1" applyBorder="1"/>
    <xf numFmtId="164" fontId="6" fillId="0" borderId="26" xfId="2" applyFont="1" applyBorder="1"/>
    <xf numFmtId="0" fontId="3" fillId="0" borderId="27" xfId="0" applyFont="1" applyFill="1" applyBorder="1"/>
    <xf numFmtId="0" fontId="4" fillId="0" borderId="24" xfId="0" applyFont="1" applyBorder="1"/>
    <xf numFmtId="0" fontId="4" fillId="0" borderId="25" xfId="0" applyFont="1" applyBorder="1"/>
    <xf numFmtId="164" fontId="2" fillId="0" borderId="1" xfId="2" applyNumberFormat="1" applyFont="1" applyFill="1" applyBorder="1" applyAlignment="1">
      <alignment horizontal="center"/>
    </xf>
    <xf numFmtId="164" fontId="0" fillId="0" borderId="0" xfId="2" applyFont="1"/>
    <xf numFmtId="0" fontId="3" fillId="0" borderId="24" xfId="0" applyFont="1" applyFill="1" applyBorder="1"/>
    <xf numFmtId="0" fontId="3" fillId="0" borderId="25" xfId="0" applyFont="1" applyFill="1" applyBorder="1"/>
    <xf numFmtId="164" fontId="2" fillId="0" borderId="25" xfId="2" applyNumberFormat="1" applyFont="1" applyFill="1" applyBorder="1" applyProtection="1"/>
    <xf numFmtId="164" fontId="2" fillId="0" borderId="25" xfId="2" applyFont="1" applyFill="1" applyBorder="1"/>
    <xf numFmtId="0" fontId="4" fillId="0" borderId="13" xfId="0" applyFont="1" applyFill="1" applyBorder="1"/>
    <xf numFmtId="0" fontId="3" fillId="0" borderId="14" xfId="0" applyFont="1" applyFill="1" applyBorder="1"/>
    <xf numFmtId="164" fontId="2" fillId="0" borderId="14" xfId="2" applyFont="1" applyFill="1" applyBorder="1"/>
    <xf numFmtId="164" fontId="6" fillId="0" borderId="14" xfId="2" applyFont="1" applyFill="1" applyBorder="1"/>
    <xf numFmtId="164" fontId="6" fillId="0" borderId="15" xfId="2" applyFont="1" applyBorder="1"/>
    <xf numFmtId="164" fontId="2" fillId="2" borderId="1" xfId="2" applyFont="1" applyFill="1" applyBorder="1"/>
    <xf numFmtId="164" fontId="2" fillId="2" borderId="22" xfId="2" applyFont="1" applyFill="1" applyBorder="1"/>
    <xf numFmtId="0" fontId="3" fillId="2" borderId="9" xfId="0" applyFont="1" applyFill="1" applyBorder="1" applyAlignment="1">
      <alignment horizontal="center"/>
    </xf>
    <xf numFmtId="164" fontId="3" fillId="2" borderId="8" xfId="2" applyFont="1" applyFill="1" applyBorder="1" applyAlignment="1">
      <alignment horizontal="center"/>
    </xf>
    <xf numFmtId="164" fontId="2" fillId="2" borderId="19" xfId="2" applyFont="1" applyFill="1" applyBorder="1"/>
    <xf numFmtId="164" fontId="2" fillId="2" borderId="25" xfId="2" applyFont="1" applyFill="1" applyBorder="1"/>
    <xf numFmtId="0" fontId="3" fillId="4" borderId="9" xfId="0" applyFont="1" applyFill="1" applyBorder="1" applyAlignment="1">
      <alignment horizontal="center"/>
    </xf>
    <xf numFmtId="164" fontId="2" fillId="4" borderId="1" xfId="2" applyFont="1" applyFill="1" applyBorder="1"/>
    <xf numFmtId="164" fontId="3" fillId="4" borderId="9" xfId="2" applyFont="1" applyFill="1" applyBorder="1" applyAlignment="1">
      <alignment horizontal="center"/>
    </xf>
    <xf numFmtId="164" fontId="2" fillId="4" borderId="19" xfId="2" applyFont="1" applyFill="1" applyBorder="1"/>
    <xf numFmtId="164" fontId="2" fillId="4" borderId="25" xfId="2" applyFont="1" applyFill="1" applyBorder="1"/>
    <xf numFmtId="164" fontId="2" fillId="3" borderId="19" xfId="2" applyFont="1" applyFill="1" applyBorder="1"/>
    <xf numFmtId="164" fontId="2" fillId="3" borderId="25" xfId="2" applyFont="1" applyFill="1" applyBorder="1"/>
    <xf numFmtId="164" fontId="2" fillId="3" borderId="22" xfId="2" applyFont="1" applyFill="1" applyBorder="1"/>
    <xf numFmtId="164" fontId="2" fillId="3" borderId="1" xfId="2" applyFont="1" applyFill="1" applyBorder="1"/>
    <xf numFmtId="164" fontId="3" fillId="3" borderId="16" xfId="2" applyFont="1" applyFill="1" applyBorder="1" applyAlignment="1">
      <alignment horizontal="center"/>
    </xf>
    <xf numFmtId="164" fontId="2" fillId="3" borderId="6" xfId="2" applyFont="1" applyFill="1" applyBorder="1"/>
    <xf numFmtId="0" fontId="3" fillId="3" borderId="1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66" fontId="2" fillId="5" borderId="5" xfId="1" applyNumberFormat="1" applyFont="1" applyFill="1" applyBorder="1"/>
    <xf numFmtId="164" fontId="3" fillId="5" borderId="10" xfId="2" applyFont="1" applyFill="1" applyBorder="1" applyAlignment="1">
      <alignment horizontal="center"/>
    </xf>
    <xf numFmtId="164" fontId="2" fillId="5" borderId="7" xfId="2" applyFont="1" applyFill="1" applyBorder="1"/>
    <xf numFmtId="164" fontId="2" fillId="5" borderId="23" xfId="2" applyFont="1" applyFill="1" applyBorder="1"/>
    <xf numFmtId="164" fontId="2" fillId="5" borderId="11" xfId="2" applyFont="1" applyFill="1" applyBorder="1"/>
    <xf numFmtId="164" fontId="2" fillId="5" borderId="26" xfId="2" applyFont="1" applyFill="1" applyBorder="1"/>
    <xf numFmtId="164" fontId="1" fillId="0" borderId="1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1" fillId="0" borderId="2" xfId="2" applyFont="1" applyBorder="1"/>
    <xf numFmtId="164" fontId="1" fillId="0" borderId="5" xfId="2" applyFont="1" applyBorder="1"/>
    <xf numFmtId="164" fontId="1" fillId="0" borderId="1" xfId="2" applyFont="1" applyFill="1" applyBorder="1"/>
    <xf numFmtId="164" fontId="1" fillId="0" borderId="6" xfId="2" applyFont="1" applyBorder="1"/>
    <xf numFmtId="164" fontId="1" fillId="0" borderId="12" xfId="2" applyFont="1" applyBorder="1"/>
    <xf numFmtId="164" fontId="1" fillId="0" borderId="18" xfId="2" applyFont="1" applyBorder="1"/>
    <xf numFmtId="164" fontId="1" fillId="0" borderId="25" xfId="2" applyFont="1" applyBorder="1"/>
    <xf numFmtId="164" fontId="1" fillId="0" borderId="26" xfId="2" applyFont="1" applyBorder="1"/>
    <xf numFmtId="164" fontId="1" fillId="0" borderId="7" xfId="2" applyFont="1" applyBorder="1"/>
    <xf numFmtId="164" fontId="1" fillId="0" borderId="20" xfId="2" applyFont="1" applyBorder="1"/>
    <xf numFmtId="164" fontId="2" fillId="4" borderId="22" xfId="2" applyFont="1" applyFill="1" applyBorder="1"/>
    <xf numFmtId="164" fontId="1" fillId="0" borderId="25" xfId="2" applyFont="1" applyFill="1" applyBorder="1"/>
    <xf numFmtId="165" fontId="1" fillId="0" borderId="0" xfId="0" applyNumberFormat="1" applyFont="1" applyFill="1"/>
    <xf numFmtId="0" fontId="1" fillId="0" borderId="0" xfId="0" applyFont="1" applyFill="1"/>
    <xf numFmtId="164" fontId="1" fillId="0" borderId="14" xfId="2" applyFont="1" applyFill="1" applyBorder="1"/>
    <xf numFmtId="164" fontId="1" fillId="0" borderId="15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Fill="1" applyBorder="1"/>
    <xf numFmtId="0" fontId="0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164" fontId="1" fillId="0" borderId="2" xfId="2" applyFont="1" applyFill="1" applyBorder="1"/>
    <xf numFmtId="164" fontId="1" fillId="0" borderId="5" xfId="2" applyFont="1" applyFill="1" applyBorder="1"/>
    <xf numFmtId="164" fontId="1" fillId="0" borderId="6" xfId="2" applyFont="1" applyFill="1" applyBorder="1"/>
    <xf numFmtId="164" fontId="2" fillId="6" borderId="1" xfId="2" applyFont="1" applyFill="1" applyBorder="1"/>
    <xf numFmtId="164" fontId="2" fillId="7" borderId="1" xfId="2" applyFont="1" applyFill="1" applyBorder="1"/>
    <xf numFmtId="164" fontId="2" fillId="8" borderId="6" xfId="2" applyFont="1" applyFill="1" applyBorder="1"/>
    <xf numFmtId="166" fontId="2" fillId="9" borderId="5" xfId="1" applyNumberFormat="1" applyFont="1" applyFill="1" applyBorder="1"/>
    <xf numFmtId="164" fontId="0" fillId="0" borderId="0" xfId="2" applyFont="1" applyFill="1" applyBorder="1"/>
    <xf numFmtId="43" fontId="0" fillId="0" borderId="0" xfId="0" applyNumberFormat="1" applyFont="1" applyFill="1" applyBorder="1"/>
    <xf numFmtId="0" fontId="4" fillId="0" borderId="12" xfId="0" applyFont="1" applyFill="1" applyBorder="1"/>
    <xf numFmtId="164" fontId="1" fillId="0" borderId="12" xfId="2" applyFont="1" applyFill="1" applyBorder="1"/>
    <xf numFmtId="164" fontId="1" fillId="0" borderId="18" xfId="2" applyFont="1" applyFill="1" applyBorder="1"/>
    <xf numFmtId="164" fontId="2" fillId="0" borderId="10" xfId="2" applyFont="1" applyFill="1" applyBorder="1"/>
    <xf numFmtId="164" fontId="3" fillId="6" borderId="8" xfId="2" applyFont="1" applyFill="1" applyBorder="1" applyAlignment="1">
      <alignment horizontal="center"/>
    </xf>
    <xf numFmtId="164" fontId="3" fillId="7" borderId="9" xfId="2" applyFont="1" applyFill="1" applyBorder="1" applyAlignment="1">
      <alignment horizontal="center"/>
    </xf>
    <xf numFmtId="164" fontId="3" fillId="8" borderId="16" xfId="2" applyFont="1" applyFill="1" applyBorder="1" applyAlignment="1">
      <alignment horizontal="center"/>
    </xf>
    <xf numFmtId="164" fontId="3" fillId="9" borderId="10" xfId="2" applyFont="1" applyFill="1" applyBorder="1" applyAlignment="1">
      <alignment horizontal="center"/>
    </xf>
    <xf numFmtId="164" fontId="1" fillId="0" borderId="26" xfId="2" applyFont="1" applyFill="1" applyBorder="1"/>
    <xf numFmtId="164" fontId="1" fillId="0" borderId="7" xfId="2" applyFont="1" applyFill="1" applyBorder="1"/>
    <xf numFmtId="164" fontId="2" fillId="0" borderId="7" xfId="2" applyFont="1" applyFill="1" applyBorder="1"/>
    <xf numFmtId="164" fontId="2" fillId="8" borderId="1" xfId="2" applyFont="1" applyFill="1" applyBorder="1"/>
    <xf numFmtId="164" fontId="2" fillId="9" borderId="7" xfId="2" applyFont="1" applyFill="1" applyBorder="1"/>
    <xf numFmtId="165" fontId="0" fillId="0" borderId="0" xfId="0" applyNumberFormat="1" applyFont="1" applyFill="1" applyBorder="1"/>
    <xf numFmtId="164" fontId="1" fillId="0" borderId="20" xfId="2" applyFont="1" applyFill="1" applyBorder="1"/>
    <xf numFmtId="164" fontId="2" fillId="6" borderId="22" xfId="2" applyFont="1" applyFill="1" applyBorder="1"/>
    <xf numFmtId="164" fontId="2" fillId="7" borderId="22" xfId="2" applyFont="1" applyFill="1" applyBorder="1"/>
    <xf numFmtId="164" fontId="2" fillId="8" borderId="22" xfId="2" applyFont="1" applyFill="1" applyBorder="1"/>
    <xf numFmtId="164" fontId="2" fillId="9" borderId="23" xfId="2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164" fontId="2" fillId="0" borderId="15" xfId="2" applyFont="1" applyFill="1" applyBorder="1"/>
    <xf numFmtId="164" fontId="2" fillId="6" borderId="19" xfId="2" applyFont="1" applyFill="1" applyBorder="1"/>
    <xf numFmtId="164" fontId="2" fillId="7" borderId="19" xfId="2" applyFont="1" applyFill="1" applyBorder="1"/>
    <xf numFmtId="164" fontId="2" fillId="8" borderId="19" xfId="2" applyFont="1" applyFill="1" applyBorder="1"/>
    <xf numFmtId="164" fontId="2" fillId="9" borderId="11" xfId="2" applyFont="1" applyFill="1" applyBorder="1"/>
    <xf numFmtId="164" fontId="2" fillId="6" borderId="25" xfId="2" applyFont="1" applyFill="1" applyBorder="1"/>
    <xf numFmtId="164" fontId="2" fillId="7" borderId="25" xfId="2" applyFont="1" applyFill="1" applyBorder="1"/>
    <xf numFmtId="164" fontId="2" fillId="8" borderId="25" xfId="2" applyFont="1" applyFill="1" applyBorder="1"/>
    <xf numFmtId="164" fontId="2" fillId="9" borderId="26" xfId="2" applyFont="1" applyFill="1" applyBorder="1"/>
    <xf numFmtId="165" fontId="1" fillId="0" borderId="0" xfId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2" fillId="0" borderId="15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0" fillId="0" borderId="0" xfId="0" applyNumberForma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D13F"/>
      <color rgb="FFFFCC66"/>
      <color rgb="FF906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6625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1"/>
  <sheetViews>
    <sheetView zoomScaleNormal="100" workbookViewId="0">
      <selection activeCell="B7" sqref="B7:H7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5" x14ac:dyDescent="0.2">
      <c r="A2" s="16"/>
      <c r="B2" s="191" t="s">
        <v>50</v>
      </c>
      <c r="C2" s="191"/>
      <c r="D2" s="191"/>
      <c r="E2" s="191"/>
      <c r="F2" s="191"/>
      <c r="G2" s="191"/>
      <c r="H2" s="191"/>
      <c r="I2" s="191"/>
    </row>
    <row r="3" spans="1:9" ht="14.25" x14ac:dyDescent="0.2">
      <c r="A3" s="16"/>
      <c r="B3" s="192" t="s">
        <v>51</v>
      </c>
      <c r="C3" s="192"/>
      <c r="D3" s="192"/>
      <c r="E3" s="192"/>
      <c r="F3" s="192"/>
      <c r="G3" s="32"/>
      <c r="H3" s="16"/>
      <c r="I3" s="16"/>
    </row>
    <row r="4" spans="1:9" ht="14.25" x14ac:dyDescent="0.2">
      <c r="A4" s="17"/>
      <c r="B4" s="192" t="s">
        <v>62</v>
      </c>
      <c r="C4" s="192"/>
      <c r="D4" s="192"/>
      <c r="E4" s="192"/>
      <c r="F4" s="192"/>
      <c r="G4" s="32"/>
      <c r="H4" s="17"/>
      <c r="I4" s="16"/>
    </row>
    <row r="5" spans="1:9" ht="14.25" x14ac:dyDescent="0.2">
      <c r="A5" s="17"/>
      <c r="B5" s="32"/>
      <c r="C5" s="32"/>
      <c r="D5" s="32"/>
      <c r="E5" s="32"/>
      <c r="F5" s="32"/>
      <c r="G5" s="32"/>
      <c r="H5" s="17"/>
      <c r="I5" s="16"/>
    </row>
    <row r="6" spans="1:9" ht="14.25" x14ac:dyDescent="0.2">
      <c r="A6" s="190" t="s">
        <v>61</v>
      </c>
      <c r="B6" s="190"/>
      <c r="C6" s="190"/>
      <c r="D6" s="190"/>
      <c r="E6" s="190"/>
      <c r="F6" s="190"/>
      <c r="G6" s="190"/>
      <c r="H6" s="190"/>
      <c r="I6" s="16"/>
    </row>
    <row r="7" spans="1:9" ht="14.25" x14ac:dyDescent="0.2">
      <c r="A7" s="35"/>
      <c r="B7" s="190" t="s">
        <v>77</v>
      </c>
      <c r="C7" s="190"/>
      <c r="D7" s="190"/>
      <c r="E7" s="190"/>
      <c r="F7" s="190"/>
      <c r="G7" s="190"/>
      <c r="H7" s="190"/>
      <c r="I7" s="16"/>
    </row>
    <row r="8" spans="1:9" ht="15" thickBot="1" x14ac:dyDescent="0.25">
      <c r="A8" s="190"/>
      <c r="B8" s="190"/>
      <c r="C8" s="190"/>
      <c r="D8" s="190"/>
      <c r="E8" s="190"/>
      <c r="F8" s="190"/>
      <c r="G8" s="190"/>
      <c r="H8" s="190"/>
      <c r="I8" s="16"/>
    </row>
    <row r="9" spans="1:9" s="1" customFormat="1" ht="13.5" thickBot="1" x14ac:dyDescent="0.25">
      <c r="A9" s="25" t="s">
        <v>0</v>
      </c>
      <c r="B9" s="26" t="s">
        <v>1</v>
      </c>
      <c r="C9" s="27" t="s">
        <v>55</v>
      </c>
      <c r="D9" s="27" t="s">
        <v>63</v>
      </c>
      <c r="E9" s="78" t="s">
        <v>70</v>
      </c>
      <c r="F9" s="82" t="s">
        <v>53</v>
      </c>
      <c r="G9" s="93" t="s">
        <v>69</v>
      </c>
      <c r="H9" s="94" t="s">
        <v>54</v>
      </c>
    </row>
    <row r="10" spans="1:9" x14ac:dyDescent="0.2">
      <c r="A10" s="6">
        <v>51101</v>
      </c>
      <c r="B10" s="5" t="s">
        <v>3</v>
      </c>
      <c r="C10" s="18">
        <v>4981600</v>
      </c>
      <c r="D10" s="18"/>
      <c r="E10" s="18">
        <f>+C10+D10</f>
        <v>4981600</v>
      </c>
      <c r="F10" s="18">
        <v>400741.14</v>
      </c>
      <c r="G10" s="18">
        <v>0</v>
      </c>
      <c r="H10" s="19">
        <f t="shared" ref="H10:H52" si="0">+E10-F10-G10</f>
        <v>4580858.8600000003</v>
      </c>
    </row>
    <row r="11" spans="1:9" x14ac:dyDescent="0.2">
      <c r="A11" s="7">
        <v>51103</v>
      </c>
      <c r="B11" s="4" t="s">
        <v>4</v>
      </c>
      <c r="C11" s="101">
        <v>184335</v>
      </c>
      <c r="D11" s="18"/>
      <c r="E11" s="18">
        <f t="shared" ref="E11:E23" si="1">+C11+D11</f>
        <v>184335</v>
      </c>
      <c r="F11" s="18"/>
      <c r="G11" s="18">
        <v>0</v>
      </c>
      <c r="H11" s="19">
        <f t="shared" si="0"/>
        <v>184335</v>
      </c>
    </row>
    <row r="12" spans="1:9" x14ac:dyDescent="0.2">
      <c r="A12" s="7">
        <v>51107</v>
      </c>
      <c r="B12" s="4" t="s">
        <v>74</v>
      </c>
      <c r="C12" s="20">
        <v>520650</v>
      </c>
      <c r="D12" s="20"/>
      <c r="E12" s="18">
        <f t="shared" si="1"/>
        <v>520650</v>
      </c>
      <c r="F12" s="18"/>
      <c r="G12" s="18">
        <v>0</v>
      </c>
      <c r="H12" s="19">
        <f t="shared" si="0"/>
        <v>520650</v>
      </c>
    </row>
    <row r="13" spans="1:9" x14ac:dyDescent="0.2">
      <c r="A13" s="7">
        <v>51201</v>
      </c>
      <c r="B13" s="4" t="s">
        <v>5</v>
      </c>
      <c r="C13" s="20">
        <v>1068700</v>
      </c>
      <c r="D13" s="14"/>
      <c r="E13" s="18">
        <f t="shared" si="1"/>
        <v>1068700</v>
      </c>
      <c r="F13" s="18">
        <v>78118.759999999995</v>
      </c>
      <c r="G13" s="18">
        <v>0</v>
      </c>
      <c r="H13" s="19">
        <f t="shared" si="0"/>
        <v>990581.24</v>
      </c>
    </row>
    <row r="14" spans="1:9" x14ac:dyDescent="0.2">
      <c r="A14" s="7">
        <v>51203</v>
      </c>
      <c r="B14" s="4" t="s">
        <v>4</v>
      </c>
      <c r="C14" s="20">
        <v>31030</v>
      </c>
      <c r="D14" s="20"/>
      <c r="E14" s="18">
        <f t="shared" si="1"/>
        <v>31030</v>
      </c>
      <c r="F14" s="18"/>
      <c r="G14" s="18">
        <v>0</v>
      </c>
      <c r="H14" s="19">
        <f t="shared" si="0"/>
        <v>31030</v>
      </c>
    </row>
    <row r="15" spans="1:9" x14ac:dyDescent="0.2">
      <c r="A15" s="7">
        <v>51207</v>
      </c>
      <c r="B15" s="4" t="s">
        <v>74</v>
      </c>
      <c r="C15" s="20">
        <v>88400</v>
      </c>
      <c r="D15" s="20"/>
      <c r="E15" s="18">
        <f t="shared" si="1"/>
        <v>88400</v>
      </c>
      <c r="F15" s="18"/>
      <c r="G15" s="18">
        <v>0</v>
      </c>
      <c r="H15" s="19">
        <f t="shared" si="0"/>
        <v>88400</v>
      </c>
    </row>
    <row r="16" spans="1:9" x14ac:dyDescent="0.2">
      <c r="A16" s="7">
        <v>51401</v>
      </c>
      <c r="B16" s="4" t="s">
        <v>6</v>
      </c>
      <c r="C16" s="20">
        <v>329750</v>
      </c>
      <c r="D16" s="20"/>
      <c r="E16" s="18">
        <f t="shared" si="1"/>
        <v>329750</v>
      </c>
      <c r="F16" s="18">
        <v>24229.75</v>
      </c>
      <c r="G16" s="18">
        <v>0</v>
      </c>
      <c r="H16" s="19">
        <f t="shared" si="0"/>
        <v>305520.25</v>
      </c>
    </row>
    <row r="17" spans="1:11" x14ac:dyDescent="0.2">
      <c r="A17" s="7">
        <v>51402</v>
      </c>
      <c r="B17" s="4" t="s">
        <v>7</v>
      </c>
      <c r="C17" s="20">
        <v>57985</v>
      </c>
      <c r="D17" s="20"/>
      <c r="E17" s="18">
        <f t="shared" si="1"/>
        <v>57985</v>
      </c>
      <c r="F17" s="18">
        <v>4156.8500000000004</v>
      </c>
      <c r="G17" s="18">
        <v>0</v>
      </c>
      <c r="H17" s="19">
        <f t="shared" si="0"/>
        <v>53828.15</v>
      </c>
    </row>
    <row r="18" spans="1:11" x14ac:dyDescent="0.2">
      <c r="A18" s="7">
        <v>51501</v>
      </c>
      <c r="B18" s="4" t="s">
        <v>8</v>
      </c>
      <c r="C18" s="20">
        <v>371700</v>
      </c>
      <c r="D18" s="20"/>
      <c r="E18" s="18">
        <f t="shared" si="1"/>
        <v>371700</v>
      </c>
      <c r="F18" s="18">
        <v>26922.09</v>
      </c>
      <c r="G18" s="18">
        <v>0</v>
      </c>
      <c r="H18" s="19">
        <f t="shared" si="0"/>
        <v>344777.91</v>
      </c>
    </row>
    <row r="19" spans="1:11" x14ac:dyDescent="0.2">
      <c r="A19" s="7">
        <v>51502</v>
      </c>
      <c r="B19" s="4" t="s">
        <v>9</v>
      </c>
      <c r="C19" s="20">
        <v>82830</v>
      </c>
      <c r="D19" s="20"/>
      <c r="E19" s="18">
        <f t="shared" si="1"/>
        <v>82830</v>
      </c>
      <c r="F19" s="18">
        <v>5792.52</v>
      </c>
      <c r="G19" s="18">
        <v>0</v>
      </c>
      <c r="H19" s="19">
        <f t="shared" si="0"/>
        <v>77037.48</v>
      </c>
    </row>
    <row r="20" spans="1:11" x14ac:dyDescent="0.2">
      <c r="A20" s="7">
        <v>51601</v>
      </c>
      <c r="B20" s="4" t="s">
        <v>10</v>
      </c>
      <c r="C20" s="20">
        <v>46625</v>
      </c>
      <c r="D20" s="20"/>
      <c r="E20" s="18">
        <f t="shared" si="1"/>
        <v>46625</v>
      </c>
      <c r="F20" s="18">
        <v>3885.76</v>
      </c>
      <c r="G20" s="18">
        <v>0</v>
      </c>
      <c r="H20" s="19">
        <f t="shared" si="0"/>
        <v>42739.24</v>
      </c>
    </row>
    <row r="21" spans="1:11" x14ac:dyDescent="0.2">
      <c r="A21" s="7">
        <v>51701</v>
      </c>
      <c r="B21" s="4" t="s">
        <v>71</v>
      </c>
      <c r="C21" s="20">
        <v>39615</v>
      </c>
      <c r="D21" s="20"/>
      <c r="E21" s="18">
        <f t="shared" si="1"/>
        <v>39615</v>
      </c>
      <c r="F21" s="18"/>
      <c r="G21" s="18">
        <v>0</v>
      </c>
      <c r="H21" s="19">
        <f t="shared" si="0"/>
        <v>39615</v>
      </c>
    </row>
    <row r="22" spans="1:11" x14ac:dyDescent="0.2">
      <c r="A22" s="7">
        <v>51903</v>
      </c>
      <c r="B22" s="4" t="s">
        <v>67</v>
      </c>
      <c r="C22" s="20">
        <v>71450</v>
      </c>
      <c r="D22" s="20"/>
      <c r="E22" s="18">
        <f t="shared" si="1"/>
        <v>71450</v>
      </c>
      <c r="F22" s="18">
        <v>877</v>
      </c>
      <c r="G22" s="18">
        <v>0</v>
      </c>
      <c r="H22" s="19">
        <f t="shared" si="0"/>
        <v>70573</v>
      </c>
    </row>
    <row r="23" spans="1:11" x14ac:dyDescent="0.2">
      <c r="A23" s="7">
        <v>51999</v>
      </c>
      <c r="B23" s="4" t="s">
        <v>58</v>
      </c>
      <c r="C23" s="20">
        <v>17000</v>
      </c>
      <c r="D23" s="20"/>
      <c r="E23" s="18">
        <f t="shared" si="1"/>
        <v>17000</v>
      </c>
      <c r="F23" s="18"/>
      <c r="G23" s="21">
        <v>0</v>
      </c>
      <c r="H23" s="19">
        <f t="shared" si="0"/>
        <v>17000</v>
      </c>
    </row>
    <row r="24" spans="1:11" x14ac:dyDescent="0.2">
      <c r="A24" s="28"/>
      <c r="B24" s="29" t="s">
        <v>11</v>
      </c>
      <c r="C24" s="65">
        <f t="shared" ref="C24:H24" si="2">SUM(C10:C23)</f>
        <v>7891670</v>
      </c>
      <c r="D24" s="30">
        <f t="shared" si="2"/>
        <v>0</v>
      </c>
      <c r="E24" s="76">
        <f t="shared" si="2"/>
        <v>7891670</v>
      </c>
      <c r="F24" s="83">
        <f t="shared" si="2"/>
        <v>544723.87</v>
      </c>
      <c r="G24" s="92">
        <f t="shared" si="2"/>
        <v>0</v>
      </c>
      <c r="H24" s="95">
        <f t="shared" si="2"/>
        <v>7346946.1300000018</v>
      </c>
    </row>
    <row r="25" spans="1:11" x14ac:dyDescent="0.2">
      <c r="A25" s="7">
        <v>54101</v>
      </c>
      <c r="B25" s="4" t="s">
        <v>12</v>
      </c>
      <c r="C25" s="20">
        <v>68030</v>
      </c>
      <c r="D25" s="20">
        <v>733.98</v>
      </c>
      <c r="E25" s="18">
        <f t="shared" ref="E25:E42" si="3">+C25+D25</f>
        <v>68763.98</v>
      </c>
      <c r="F25" s="18">
        <v>13887.88</v>
      </c>
      <c r="G25" s="18">
        <v>0</v>
      </c>
      <c r="H25" s="19">
        <f t="shared" si="0"/>
        <v>54876.1</v>
      </c>
    </row>
    <row r="26" spans="1:11" x14ac:dyDescent="0.2">
      <c r="A26" s="7">
        <v>54103</v>
      </c>
      <c r="B26" s="4" t="s">
        <v>13</v>
      </c>
      <c r="C26" s="20">
        <v>1000</v>
      </c>
      <c r="D26" s="20"/>
      <c r="E26" s="18">
        <f t="shared" si="3"/>
        <v>1000</v>
      </c>
      <c r="F26" s="18"/>
      <c r="G26" s="18">
        <v>0</v>
      </c>
      <c r="H26" s="19">
        <f t="shared" si="0"/>
        <v>1000</v>
      </c>
    </row>
    <row r="27" spans="1:11" x14ac:dyDescent="0.2">
      <c r="A27" s="7">
        <v>54104</v>
      </c>
      <c r="B27" s="4" t="s">
        <v>14</v>
      </c>
      <c r="C27" s="20">
        <v>49845</v>
      </c>
      <c r="D27" s="20"/>
      <c r="E27" s="18">
        <f t="shared" si="3"/>
        <v>49845</v>
      </c>
      <c r="F27" s="18">
        <v>1670</v>
      </c>
      <c r="G27" s="18">
        <v>0</v>
      </c>
      <c r="H27" s="19">
        <f t="shared" si="0"/>
        <v>48175</v>
      </c>
    </row>
    <row r="28" spans="1:11" x14ac:dyDescent="0.2">
      <c r="A28" s="7">
        <v>54105</v>
      </c>
      <c r="B28" s="4" t="s">
        <v>15</v>
      </c>
      <c r="C28" s="20">
        <v>23675</v>
      </c>
      <c r="D28" s="20"/>
      <c r="E28" s="18">
        <f t="shared" si="3"/>
        <v>23675</v>
      </c>
      <c r="F28" s="18">
        <v>1794.5</v>
      </c>
      <c r="G28" s="18">
        <v>0</v>
      </c>
      <c r="H28" s="19">
        <f t="shared" si="0"/>
        <v>21880.5</v>
      </c>
      <c r="K28" s="66"/>
    </row>
    <row r="29" spans="1:11" x14ac:dyDescent="0.2">
      <c r="A29" s="7">
        <v>54106</v>
      </c>
      <c r="B29" s="4" t="s">
        <v>16</v>
      </c>
      <c r="C29" s="20">
        <v>400</v>
      </c>
      <c r="D29" s="20"/>
      <c r="E29" s="18">
        <f t="shared" si="3"/>
        <v>400</v>
      </c>
      <c r="F29" s="18"/>
      <c r="G29" s="18">
        <v>0</v>
      </c>
      <c r="H29" s="19">
        <f t="shared" si="0"/>
        <v>400</v>
      </c>
    </row>
    <row r="30" spans="1:11" x14ac:dyDescent="0.2">
      <c r="A30" s="7">
        <v>54107</v>
      </c>
      <c r="B30" s="4" t="s">
        <v>17</v>
      </c>
      <c r="C30" s="20">
        <v>12100</v>
      </c>
      <c r="D30" s="20"/>
      <c r="E30" s="18">
        <f t="shared" si="3"/>
        <v>12100</v>
      </c>
      <c r="F30" s="18"/>
      <c r="G30" s="18">
        <v>0</v>
      </c>
      <c r="H30" s="19">
        <f t="shared" si="0"/>
        <v>12100</v>
      </c>
    </row>
    <row r="31" spans="1:11" x14ac:dyDescent="0.2">
      <c r="A31" s="7">
        <v>54108</v>
      </c>
      <c r="B31" s="4" t="s">
        <v>18</v>
      </c>
      <c r="C31" s="20">
        <v>15000</v>
      </c>
      <c r="D31" s="20"/>
      <c r="E31" s="18">
        <f t="shared" si="3"/>
        <v>15000</v>
      </c>
      <c r="F31" s="18"/>
      <c r="G31" s="18">
        <v>0</v>
      </c>
      <c r="H31" s="19">
        <f t="shared" si="0"/>
        <v>15000</v>
      </c>
    </row>
    <row r="32" spans="1:11" x14ac:dyDescent="0.2">
      <c r="A32" s="7">
        <v>54109</v>
      </c>
      <c r="B32" s="4" t="s">
        <v>19</v>
      </c>
      <c r="C32" s="20">
        <v>4000</v>
      </c>
      <c r="D32" s="20"/>
      <c r="E32" s="18">
        <f t="shared" si="3"/>
        <v>4000</v>
      </c>
      <c r="F32" s="18">
        <v>500</v>
      </c>
      <c r="G32" s="18">
        <v>0</v>
      </c>
      <c r="H32" s="19">
        <f t="shared" si="0"/>
        <v>3500</v>
      </c>
    </row>
    <row r="33" spans="1:12" x14ac:dyDescent="0.2">
      <c r="A33" s="7">
        <v>54110</v>
      </c>
      <c r="B33" s="4" t="s">
        <v>20</v>
      </c>
      <c r="C33" s="20">
        <v>45700</v>
      </c>
      <c r="D33" s="20"/>
      <c r="E33" s="18">
        <f t="shared" si="3"/>
        <v>45700</v>
      </c>
      <c r="F33" s="18"/>
      <c r="G33" s="18">
        <v>0</v>
      </c>
      <c r="H33" s="19">
        <f t="shared" si="0"/>
        <v>45700</v>
      </c>
    </row>
    <row r="34" spans="1:12" x14ac:dyDescent="0.2">
      <c r="A34" s="7">
        <v>54111</v>
      </c>
      <c r="B34" s="4" t="s">
        <v>21</v>
      </c>
      <c r="C34" s="20">
        <v>1400</v>
      </c>
      <c r="D34" s="20"/>
      <c r="E34" s="18">
        <f t="shared" si="3"/>
        <v>1400</v>
      </c>
      <c r="F34" s="18"/>
      <c r="G34" s="18">
        <v>0</v>
      </c>
      <c r="H34" s="19">
        <f t="shared" si="0"/>
        <v>1400</v>
      </c>
      <c r="L34" s="3"/>
    </row>
    <row r="35" spans="1:12" x14ac:dyDescent="0.2">
      <c r="A35" s="7">
        <v>54112</v>
      </c>
      <c r="B35" s="4" t="s">
        <v>22</v>
      </c>
      <c r="C35" s="20">
        <v>1400</v>
      </c>
      <c r="D35" s="20"/>
      <c r="E35" s="18">
        <f t="shared" si="3"/>
        <v>1400</v>
      </c>
      <c r="F35" s="18"/>
      <c r="G35" s="18">
        <v>0</v>
      </c>
      <c r="H35" s="19">
        <f t="shared" si="0"/>
        <v>1400</v>
      </c>
      <c r="L35" s="3"/>
    </row>
    <row r="36" spans="1:12" x14ac:dyDescent="0.2">
      <c r="A36" s="7">
        <v>54113</v>
      </c>
      <c r="B36" s="4" t="s">
        <v>23</v>
      </c>
      <c r="C36" s="20">
        <v>900</v>
      </c>
      <c r="D36" s="20"/>
      <c r="E36" s="18">
        <f t="shared" si="3"/>
        <v>900</v>
      </c>
      <c r="F36" s="18"/>
      <c r="G36" s="18">
        <v>0</v>
      </c>
      <c r="H36" s="19">
        <f t="shared" si="0"/>
        <v>900</v>
      </c>
      <c r="L36" s="3"/>
    </row>
    <row r="37" spans="1:12" x14ac:dyDescent="0.2">
      <c r="A37" s="7">
        <v>54114</v>
      </c>
      <c r="B37" s="4" t="s">
        <v>24</v>
      </c>
      <c r="C37" s="20">
        <v>5580</v>
      </c>
      <c r="D37" s="20"/>
      <c r="E37" s="18">
        <f t="shared" si="3"/>
        <v>5580</v>
      </c>
      <c r="F37" s="18">
        <v>1201.7</v>
      </c>
      <c r="G37" s="18">
        <v>0</v>
      </c>
      <c r="H37" s="19">
        <f t="shared" si="0"/>
        <v>4378.3</v>
      </c>
    </row>
    <row r="38" spans="1:12" x14ac:dyDescent="0.2">
      <c r="A38" s="7">
        <v>54115</v>
      </c>
      <c r="B38" s="4" t="s">
        <v>25</v>
      </c>
      <c r="C38" s="20">
        <v>12200</v>
      </c>
      <c r="D38" s="20"/>
      <c r="E38" s="18">
        <f t="shared" si="3"/>
        <v>12200</v>
      </c>
      <c r="F38" s="18"/>
      <c r="G38" s="18">
        <v>0</v>
      </c>
      <c r="H38" s="19">
        <f t="shared" si="0"/>
        <v>12200</v>
      </c>
    </row>
    <row r="39" spans="1:12" x14ac:dyDescent="0.2">
      <c r="A39" s="7">
        <v>54116</v>
      </c>
      <c r="B39" s="4" t="s">
        <v>26</v>
      </c>
      <c r="C39" s="20">
        <v>800</v>
      </c>
      <c r="D39" s="20"/>
      <c r="E39" s="18">
        <f t="shared" si="3"/>
        <v>800</v>
      </c>
      <c r="F39" s="18">
        <v>369.3</v>
      </c>
      <c r="G39" s="18">
        <v>0</v>
      </c>
      <c r="H39" s="19">
        <f t="shared" si="0"/>
        <v>430.7</v>
      </c>
    </row>
    <row r="40" spans="1:12" x14ac:dyDescent="0.2">
      <c r="A40" s="7">
        <v>54118</v>
      </c>
      <c r="B40" s="4" t="s">
        <v>27</v>
      </c>
      <c r="C40" s="20">
        <v>1600</v>
      </c>
      <c r="D40" s="20"/>
      <c r="E40" s="18">
        <f t="shared" si="3"/>
        <v>1600</v>
      </c>
      <c r="F40" s="18">
        <v>600</v>
      </c>
      <c r="G40" s="18">
        <v>0</v>
      </c>
      <c r="H40" s="19">
        <f t="shared" si="0"/>
        <v>1000</v>
      </c>
    </row>
    <row r="41" spans="1:12" x14ac:dyDescent="0.2">
      <c r="A41" s="7">
        <v>54119</v>
      </c>
      <c r="B41" s="4" t="s">
        <v>28</v>
      </c>
      <c r="C41" s="20">
        <v>2100</v>
      </c>
      <c r="D41" s="20"/>
      <c r="E41" s="18">
        <f t="shared" si="3"/>
        <v>2100</v>
      </c>
      <c r="F41" s="18"/>
      <c r="G41" s="18">
        <v>0</v>
      </c>
      <c r="H41" s="19">
        <f t="shared" si="0"/>
        <v>2100</v>
      </c>
    </row>
    <row r="42" spans="1:12" ht="13.5" thickBot="1" x14ac:dyDescent="0.25">
      <c r="A42" s="40">
        <v>54199</v>
      </c>
      <c r="B42" s="41" t="s">
        <v>29</v>
      </c>
      <c r="C42" s="42">
        <v>457819</v>
      </c>
      <c r="D42" s="42">
        <v>4919.5200000000004</v>
      </c>
      <c r="E42" s="18">
        <f t="shared" si="3"/>
        <v>462738.52</v>
      </c>
      <c r="F42" s="18"/>
      <c r="G42" s="18">
        <v>0</v>
      </c>
      <c r="H42" s="43">
        <f t="shared" si="0"/>
        <v>462738.52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5653.5</v>
      </c>
      <c r="E43" s="46">
        <f>SUM(E25:E42)</f>
        <v>709202.5</v>
      </c>
      <c r="F43" s="46">
        <f>SUM(F25:F42)</f>
        <v>20023.379999999997</v>
      </c>
      <c r="G43" s="46">
        <f>SUM(G25:G42)</f>
        <v>0</v>
      </c>
      <c r="H43" s="47">
        <f t="shared" si="0"/>
        <v>689179.12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60">
        <v>178835</v>
      </c>
      <c r="D48" s="60"/>
      <c r="E48" s="18">
        <f t="shared" ref="E48:E51" si="4">+C48+D48</f>
        <v>178835</v>
      </c>
      <c r="F48" s="18">
        <v>10668</v>
      </c>
      <c r="G48" s="18">
        <v>0</v>
      </c>
      <c r="H48" s="61">
        <f t="shared" si="0"/>
        <v>168167</v>
      </c>
    </row>
    <row r="49" spans="1:8" x14ac:dyDescent="0.2">
      <c r="A49" s="7">
        <v>54202</v>
      </c>
      <c r="B49" s="4" t="s">
        <v>31</v>
      </c>
      <c r="C49" s="20">
        <v>42600</v>
      </c>
      <c r="D49" s="20"/>
      <c r="E49" s="18">
        <f t="shared" si="4"/>
        <v>42600</v>
      </c>
      <c r="F49" s="18">
        <v>1815.07</v>
      </c>
      <c r="G49" s="18">
        <v>0</v>
      </c>
      <c r="H49" s="19">
        <f t="shared" si="0"/>
        <v>40784.93</v>
      </c>
    </row>
    <row r="50" spans="1:8" x14ac:dyDescent="0.2">
      <c r="A50" s="40">
        <v>54203</v>
      </c>
      <c r="B50" s="41" t="s">
        <v>32</v>
      </c>
      <c r="C50" s="42">
        <v>148490</v>
      </c>
      <c r="D50" s="42"/>
      <c r="E50" s="18">
        <f t="shared" si="4"/>
        <v>148490</v>
      </c>
      <c r="F50" s="18">
        <v>27154.32</v>
      </c>
      <c r="G50" s="18">
        <v>0</v>
      </c>
      <c r="H50" s="43">
        <f t="shared" si="0"/>
        <v>121335.67999999999</v>
      </c>
    </row>
    <row r="51" spans="1:8" x14ac:dyDescent="0.2">
      <c r="A51" s="7">
        <v>54204</v>
      </c>
      <c r="B51" s="4" t="s">
        <v>33</v>
      </c>
      <c r="C51" s="20">
        <v>1200</v>
      </c>
      <c r="D51" s="20"/>
      <c r="E51" s="18">
        <f t="shared" si="4"/>
        <v>1200</v>
      </c>
      <c r="F51" s="18">
        <v>40.299999999999997</v>
      </c>
      <c r="G51" s="18">
        <v>0</v>
      </c>
      <c r="H51" s="23">
        <f t="shared" si="0"/>
        <v>1159.7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0</v>
      </c>
      <c r="E52" s="30">
        <f>SUM(E48:E51)</f>
        <v>371125</v>
      </c>
      <c r="F52" s="30">
        <f>SUM(F48:F51)</f>
        <v>39677.69</v>
      </c>
      <c r="G52" s="30">
        <f>SUM(G48:G51)</f>
        <v>0</v>
      </c>
      <c r="H52" s="33">
        <f t="shared" si="0"/>
        <v>331447.31</v>
      </c>
    </row>
    <row r="53" spans="1:8" x14ac:dyDescent="0.2">
      <c r="A53" s="7">
        <v>54301</v>
      </c>
      <c r="B53" s="4" t="s">
        <v>34</v>
      </c>
      <c r="C53" s="20">
        <v>30560</v>
      </c>
      <c r="D53" s="20">
        <v>-4283.3999999999996</v>
      </c>
      <c r="E53" s="18">
        <f t="shared" ref="E53:E64" si="5">+C53+D53</f>
        <v>26276.6</v>
      </c>
      <c r="F53" s="18"/>
      <c r="G53" s="18">
        <v>0</v>
      </c>
      <c r="H53" s="23">
        <f t="shared" ref="H53:H59" si="6">+E53-F53-G53</f>
        <v>26276.6</v>
      </c>
    </row>
    <row r="54" spans="1:8" x14ac:dyDescent="0.2">
      <c r="A54" s="6">
        <v>54302</v>
      </c>
      <c r="B54" s="5" t="s">
        <v>35</v>
      </c>
      <c r="C54" s="18">
        <v>63000</v>
      </c>
      <c r="D54" s="18"/>
      <c r="E54" s="18">
        <f t="shared" si="5"/>
        <v>63000</v>
      </c>
      <c r="F54" s="18">
        <v>1962.68</v>
      </c>
      <c r="G54" s="18">
        <v>0</v>
      </c>
      <c r="H54" s="19">
        <f t="shared" si="6"/>
        <v>61037.32</v>
      </c>
    </row>
    <row r="55" spans="1:8" x14ac:dyDescent="0.2">
      <c r="A55" s="7">
        <v>54304</v>
      </c>
      <c r="B55" s="4" t="s">
        <v>36</v>
      </c>
      <c r="C55" s="20">
        <v>4000</v>
      </c>
      <c r="D55" s="20"/>
      <c r="E55" s="18">
        <f t="shared" si="5"/>
        <v>4000</v>
      </c>
      <c r="F55" s="18"/>
      <c r="G55" s="18">
        <v>0</v>
      </c>
      <c r="H55" s="23">
        <f t="shared" si="6"/>
        <v>4000</v>
      </c>
    </row>
    <row r="56" spans="1:8" x14ac:dyDescent="0.2">
      <c r="A56" s="7">
        <v>54305</v>
      </c>
      <c r="B56" s="4" t="s">
        <v>37</v>
      </c>
      <c r="C56" s="20">
        <v>84200</v>
      </c>
      <c r="D56" s="20">
        <v>-9207.5</v>
      </c>
      <c r="E56" s="18">
        <f t="shared" si="5"/>
        <v>74992.5</v>
      </c>
      <c r="F56" s="18">
        <v>215.6</v>
      </c>
      <c r="G56" s="18">
        <v>0</v>
      </c>
      <c r="H56" s="23">
        <f t="shared" si="6"/>
        <v>74776.899999999994</v>
      </c>
    </row>
    <row r="57" spans="1:8" x14ac:dyDescent="0.2">
      <c r="A57" s="7">
        <v>54306</v>
      </c>
      <c r="B57" s="4" t="s">
        <v>78</v>
      </c>
      <c r="C57" s="20">
        <v>0</v>
      </c>
      <c r="D57" s="20">
        <v>4283.3999999999996</v>
      </c>
      <c r="E57" s="18">
        <f t="shared" ref="E57" si="7">+C57+D57</f>
        <v>4283.3999999999996</v>
      </c>
      <c r="F57" s="18"/>
      <c r="G57" s="18">
        <v>0</v>
      </c>
      <c r="H57" s="23">
        <f t="shared" ref="H57" si="8">+E57-F57-G57</f>
        <v>4283.3999999999996</v>
      </c>
    </row>
    <row r="58" spans="1:8" x14ac:dyDescent="0.2">
      <c r="A58" s="7">
        <v>54307</v>
      </c>
      <c r="B58" s="4" t="s">
        <v>38</v>
      </c>
      <c r="C58" s="20">
        <v>6400</v>
      </c>
      <c r="D58" s="20"/>
      <c r="E58" s="18">
        <f t="shared" si="5"/>
        <v>6400</v>
      </c>
      <c r="F58" s="18"/>
      <c r="G58" s="18">
        <v>0</v>
      </c>
      <c r="H58" s="23">
        <f t="shared" si="6"/>
        <v>6400</v>
      </c>
    </row>
    <row r="59" spans="1:8" x14ac:dyDescent="0.2">
      <c r="A59" s="7">
        <v>54308</v>
      </c>
      <c r="B59" s="4" t="s">
        <v>79</v>
      </c>
      <c r="C59" s="20">
        <v>2500</v>
      </c>
      <c r="D59" s="20"/>
      <c r="E59" s="18">
        <f t="shared" si="5"/>
        <v>2500</v>
      </c>
      <c r="F59" s="18"/>
      <c r="G59" s="18"/>
      <c r="H59" s="23">
        <f t="shared" si="6"/>
        <v>2500</v>
      </c>
    </row>
    <row r="60" spans="1:8" x14ac:dyDescent="0.2">
      <c r="A60" s="7">
        <v>54313</v>
      </c>
      <c r="B60" s="4" t="s">
        <v>39</v>
      </c>
      <c r="C60" s="20">
        <v>24400</v>
      </c>
      <c r="D60" s="20"/>
      <c r="E60" s="18">
        <f t="shared" si="5"/>
        <v>24400</v>
      </c>
      <c r="F60" s="18"/>
      <c r="G60" s="18">
        <v>0</v>
      </c>
      <c r="H60" s="23">
        <f t="shared" ref="H60:H80" si="9">+E60-F60-G60</f>
        <v>24400</v>
      </c>
    </row>
    <row r="61" spans="1:8" x14ac:dyDescent="0.2">
      <c r="A61" s="7">
        <v>54314</v>
      </c>
      <c r="B61" s="4" t="s">
        <v>52</v>
      </c>
      <c r="C61" s="20">
        <v>28100</v>
      </c>
      <c r="D61" s="20">
        <v>3554</v>
      </c>
      <c r="E61" s="18">
        <f t="shared" si="5"/>
        <v>31654</v>
      </c>
      <c r="F61" s="18">
        <v>3554</v>
      </c>
      <c r="G61" s="18">
        <v>0</v>
      </c>
      <c r="H61" s="23">
        <f t="shared" si="9"/>
        <v>28100</v>
      </c>
    </row>
    <row r="62" spans="1:8" x14ac:dyDescent="0.2">
      <c r="A62" s="7">
        <v>54316</v>
      </c>
      <c r="B62" s="4" t="s">
        <v>40</v>
      </c>
      <c r="C62" s="20">
        <v>24000</v>
      </c>
      <c r="D62" s="20"/>
      <c r="E62" s="18">
        <f t="shared" si="5"/>
        <v>24000</v>
      </c>
      <c r="F62" s="18"/>
      <c r="G62" s="18">
        <v>0</v>
      </c>
      <c r="H62" s="23">
        <f t="shared" si="9"/>
        <v>24000</v>
      </c>
    </row>
    <row r="63" spans="1:8" x14ac:dyDescent="0.2">
      <c r="A63" s="7">
        <v>54317</v>
      </c>
      <c r="B63" s="4" t="s">
        <v>41</v>
      </c>
      <c r="C63" s="20">
        <v>584880</v>
      </c>
      <c r="D63" s="20"/>
      <c r="E63" s="18">
        <f t="shared" si="5"/>
        <v>584880</v>
      </c>
      <c r="F63" s="18">
        <v>584872.92000000004</v>
      </c>
      <c r="G63" s="18">
        <v>0</v>
      </c>
      <c r="H63" s="23">
        <f t="shared" si="9"/>
        <v>7.0799999999580905</v>
      </c>
    </row>
    <row r="64" spans="1:8" x14ac:dyDescent="0.2">
      <c r="A64" s="7">
        <v>54399</v>
      </c>
      <c r="B64" s="4" t="s">
        <v>42</v>
      </c>
      <c r="C64" s="20">
        <v>47080</v>
      </c>
      <c r="D64" s="20"/>
      <c r="E64" s="18">
        <f t="shared" si="5"/>
        <v>47080</v>
      </c>
      <c r="F64" s="18">
        <v>7202</v>
      </c>
      <c r="G64" s="18">
        <v>0</v>
      </c>
      <c r="H64" s="23">
        <f t="shared" si="9"/>
        <v>39878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-5653.5</v>
      </c>
      <c r="E65" s="30">
        <f>SUM(E53:E64)</f>
        <v>893466.5</v>
      </c>
      <c r="F65" s="30">
        <f>SUM(F53:F64)</f>
        <v>597807.20000000007</v>
      </c>
      <c r="G65" s="30">
        <f>SUM(G53:G64)</f>
        <v>0</v>
      </c>
      <c r="H65" s="33">
        <f t="shared" si="9"/>
        <v>295659.29999999993</v>
      </c>
    </row>
    <row r="66" spans="1:9" x14ac:dyDescent="0.2">
      <c r="A66" s="7">
        <v>54402</v>
      </c>
      <c r="B66" s="4" t="s">
        <v>43</v>
      </c>
      <c r="C66" s="20">
        <v>8000</v>
      </c>
      <c r="D66" s="20"/>
      <c r="E66" s="18">
        <f t="shared" ref="E66:E68" si="10">+C66+D66</f>
        <v>8000</v>
      </c>
      <c r="F66" s="18"/>
      <c r="G66" s="20">
        <v>0</v>
      </c>
      <c r="H66" s="23">
        <f t="shared" si="9"/>
        <v>8000</v>
      </c>
    </row>
    <row r="67" spans="1:9" x14ac:dyDescent="0.2">
      <c r="A67" s="7">
        <v>54403</v>
      </c>
      <c r="B67" s="4" t="s">
        <v>44</v>
      </c>
      <c r="C67" s="20">
        <v>11460</v>
      </c>
      <c r="D67" s="20"/>
      <c r="E67" s="18">
        <f t="shared" si="10"/>
        <v>11460</v>
      </c>
      <c r="F67" s="18">
        <v>120</v>
      </c>
      <c r="G67" s="18">
        <v>0</v>
      </c>
      <c r="H67" s="23">
        <f t="shared" si="9"/>
        <v>11340</v>
      </c>
    </row>
    <row r="68" spans="1:9" x14ac:dyDescent="0.2">
      <c r="A68" s="7">
        <v>54404</v>
      </c>
      <c r="B68" s="4" t="s">
        <v>45</v>
      </c>
      <c r="C68" s="20">
        <v>20000</v>
      </c>
      <c r="D68" s="20"/>
      <c r="E68" s="18">
        <f t="shared" si="10"/>
        <v>20000</v>
      </c>
      <c r="F68" s="18">
        <v>445</v>
      </c>
      <c r="G68" s="18">
        <v>0</v>
      </c>
      <c r="H68" s="23">
        <f t="shared" si="9"/>
        <v>19555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0</v>
      </c>
      <c r="E69" s="30">
        <f>SUM(E66:E68)</f>
        <v>39460</v>
      </c>
      <c r="F69" s="30">
        <f>SUM(F66:F68)</f>
        <v>565</v>
      </c>
      <c r="G69" s="30">
        <f>SUM(G66:G68)</f>
        <v>0</v>
      </c>
      <c r="H69" s="33">
        <f t="shared" si="9"/>
        <v>38895</v>
      </c>
    </row>
    <row r="70" spans="1:9" x14ac:dyDescent="0.2">
      <c r="A70" s="7">
        <v>54505</v>
      </c>
      <c r="B70" s="4" t="s">
        <v>46</v>
      </c>
      <c r="C70" s="20">
        <v>2000</v>
      </c>
      <c r="D70" s="20"/>
      <c r="E70" s="18">
        <f t="shared" ref="E70:E71" si="11">+C70+D70</f>
        <v>2000</v>
      </c>
      <c r="F70" s="18">
        <v>0</v>
      </c>
      <c r="G70" s="18">
        <v>0</v>
      </c>
      <c r="H70" s="23">
        <f t="shared" si="9"/>
        <v>2000</v>
      </c>
    </row>
    <row r="71" spans="1:9" x14ac:dyDescent="0.2">
      <c r="A71" s="7">
        <v>54599</v>
      </c>
      <c r="B71" s="4" t="s">
        <v>66</v>
      </c>
      <c r="C71" s="20">
        <v>36000</v>
      </c>
      <c r="D71" s="20"/>
      <c r="E71" s="18">
        <f t="shared" si="11"/>
        <v>36000</v>
      </c>
      <c r="F71" s="18">
        <v>0</v>
      </c>
      <c r="G71" s="18">
        <v>0</v>
      </c>
      <c r="H71" s="23">
        <f t="shared" si="9"/>
        <v>36000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0</v>
      </c>
      <c r="E72" s="30">
        <f>SUM(E70:E71)</f>
        <v>38000</v>
      </c>
      <c r="F72" s="30">
        <f>SUM(F70:F71)</f>
        <v>0</v>
      </c>
      <c r="G72" s="30">
        <f>SUM(G70:G71)</f>
        <v>0</v>
      </c>
      <c r="H72" s="23">
        <f t="shared" si="9"/>
        <v>38000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658073.27000000014</v>
      </c>
      <c r="G73" s="90">
        <f>+G72+G69+G65+G52+G43</f>
        <v>0</v>
      </c>
      <c r="H73" s="97">
        <f t="shared" si="9"/>
        <v>1393180.73</v>
      </c>
    </row>
    <row r="74" spans="1:9" x14ac:dyDescent="0.2">
      <c r="A74" s="7">
        <v>55599</v>
      </c>
      <c r="B74" s="4" t="s">
        <v>47</v>
      </c>
      <c r="C74" s="20">
        <v>3400</v>
      </c>
      <c r="D74" s="20"/>
      <c r="E74" s="18">
        <f>+C74+D74</f>
        <v>3400</v>
      </c>
      <c r="F74" s="18"/>
      <c r="G74" s="18">
        <v>0</v>
      </c>
      <c r="H74" s="23">
        <f t="shared" si="9"/>
        <v>3400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0</v>
      </c>
      <c r="E75" s="30">
        <f>SUM(E74)</f>
        <v>3400</v>
      </c>
      <c r="F75" s="30">
        <f>SUM(F74)</f>
        <v>0</v>
      </c>
      <c r="G75" s="30">
        <f>SUM(G74)</f>
        <v>0</v>
      </c>
      <c r="H75" s="23">
        <f t="shared" si="9"/>
        <v>3400</v>
      </c>
    </row>
    <row r="76" spans="1:9" x14ac:dyDescent="0.2">
      <c r="A76" s="7">
        <v>55601</v>
      </c>
      <c r="B76" s="4" t="s">
        <v>48</v>
      </c>
      <c r="C76" s="20">
        <f>47000+100000</f>
        <v>147000</v>
      </c>
      <c r="D76" s="20"/>
      <c r="E76" s="18">
        <f t="shared" ref="E76:E78" si="12">+C76+D76</f>
        <v>147000</v>
      </c>
      <c r="F76" s="18"/>
      <c r="G76" s="18">
        <v>0</v>
      </c>
      <c r="H76" s="23">
        <f t="shared" si="9"/>
        <v>147000</v>
      </c>
    </row>
    <row r="77" spans="1:9" x14ac:dyDescent="0.2">
      <c r="A77" s="7">
        <v>55602</v>
      </c>
      <c r="B77" s="4" t="s">
        <v>49</v>
      </c>
      <c r="C77" s="20">
        <v>48000</v>
      </c>
      <c r="D77" s="20">
        <v>0</v>
      </c>
      <c r="E77" s="18">
        <f t="shared" si="12"/>
        <v>48000</v>
      </c>
      <c r="F77" s="18"/>
      <c r="G77" s="18">
        <v>0</v>
      </c>
      <c r="H77" s="23">
        <f t="shared" si="9"/>
        <v>48000</v>
      </c>
    </row>
    <row r="78" spans="1:9" x14ac:dyDescent="0.2">
      <c r="A78" s="7">
        <v>55603</v>
      </c>
      <c r="B78" s="4" t="s">
        <v>72</v>
      </c>
      <c r="C78" s="20">
        <v>25</v>
      </c>
      <c r="D78" s="20">
        <v>0</v>
      </c>
      <c r="E78" s="18">
        <f t="shared" si="12"/>
        <v>25</v>
      </c>
      <c r="F78" s="18"/>
      <c r="G78" s="20">
        <v>0</v>
      </c>
      <c r="H78" s="23">
        <f t="shared" si="9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0</v>
      </c>
      <c r="E79" s="30">
        <f>SUM(E76:E78)</f>
        <v>195025</v>
      </c>
      <c r="F79" s="30">
        <f>SUM(F76:F78)</f>
        <v>0</v>
      </c>
      <c r="G79" s="30">
        <f>SUM(G76:G78)</f>
        <v>0</v>
      </c>
      <c r="H79" s="23">
        <f t="shared" si="9"/>
        <v>195025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0</v>
      </c>
      <c r="G80" s="90">
        <f>+G75+G79</f>
        <v>0</v>
      </c>
      <c r="H80" s="97">
        <f t="shared" si="9"/>
        <v>198425</v>
      </c>
      <c r="I80" s="2"/>
    </row>
    <row r="81" spans="1:9" s="10" customFormat="1" x14ac:dyDescent="0.2">
      <c r="A81" s="7">
        <v>56303</v>
      </c>
      <c r="B81" s="4" t="s">
        <v>68</v>
      </c>
      <c r="C81" s="20">
        <v>4000</v>
      </c>
      <c r="D81" s="20"/>
      <c r="E81" s="18">
        <f t="shared" ref="E81:E82" si="13">+C81+D81</f>
        <v>4000</v>
      </c>
      <c r="F81" s="18"/>
      <c r="G81" s="20">
        <v>0</v>
      </c>
      <c r="H81" s="23">
        <f t="shared" ref="H81:H98" si="14">+E81-F81-G81</f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20">
        <v>0</v>
      </c>
      <c r="D82" s="20">
        <v>0</v>
      </c>
      <c r="E82" s="18">
        <f t="shared" si="13"/>
        <v>0</v>
      </c>
      <c r="F82" s="18">
        <v>0</v>
      </c>
      <c r="G82" s="20">
        <v>0</v>
      </c>
      <c r="H82" s="23">
        <f t="shared" si="14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14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20">
        <v>5500</v>
      </c>
      <c r="D84" s="20"/>
      <c r="E84" s="18">
        <f>+C84+D84</f>
        <v>5500</v>
      </c>
      <c r="F84" s="18">
        <v>0</v>
      </c>
      <c r="G84" s="20">
        <v>0</v>
      </c>
      <c r="H84" s="23">
        <f t="shared" si="14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53">
        <f t="shared" si="14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5">+D83+D85</f>
        <v>0</v>
      </c>
      <c r="E86" s="77">
        <f t="shared" si="15"/>
        <v>9500</v>
      </c>
      <c r="F86" s="77">
        <f t="shared" si="15"/>
        <v>0</v>
      </c>
      <c r="G86" s="89">
        <f t="shared" si="15"/>
        <v>0</v>
      </c>
      <c r="H86" s="98">
        <f t="shared" si="15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2" customFormat="1" x14ac:dyDescent="0.2">
      <c r="A91" s="57">
        <v>61101</v>
      </c>
      <c r="B91" s="58" t="s">
        <v>57</v>
      </c>
      <c r="C91" s="59">
        <v>5000</v>
      </c>
      <c r="D91" s="59"/>
      <c r="E91" s="60">
        <f t="shared" ref="E91:E95" si="16">+C91+D91</f>
        <v>5000</v>
      </c>
      <c r="F91" s="60">
        <v>0</v>
      </c>
      <c r="G91" s="59">
        <v>0</v>
      </c>
      <c r="H91" s="61">
        <f t="shared" si="14"/>
        <v>5000</v>
      </c>
      <c r="I91" s="22"/>
    </row>
    <row r="92" spans="1:9" s="12" customFormat="1" x14ac:dyDescent="0.2">
      <c r="A92" s="8">
        <v>61102</v>
      </c>
      <c r="B92" s="24" t="s">
        <v>64</v>
      </c>
      <c r="C92" s="14">
        <v>15000</v>
      </c>
      <c r="D92" s="14"/>
      <c r="E92" s="18">
        <f t="shared" si="16"/>
        <v>15000</v>
      </c>
      <c r="F92" s="18">
        <v>0</v>
      </c>
      <c r="G92" s="14">
        <v>0</v>
      </c>
      <c r="H92" s="23">
        <f t="shared" si="14"/>
        <v>15000</v>
      </c>
      <c r="I92" s="22"/>
    </row>
    <row r="93" spans="1:9" s="12" customFormat="1" x14ac:dyDescent="0.2">
      <c r="A93" s="8">
        <v>61103</v>
      </c>
      <c r="B93" s="24" t="s">
        <v>65</v>
      </c>
      <c r="C93" s="14">
        <v>500</v>
      </c>
      <c r="D93" s="14"/>
      <c r="E93" s="18">
        <f t="shared" si="16"/>
        <v>500</v>
      </c>
      <c r="F93" s="18">
        <v>0</v>
      </c>
      <c r="G93" s="14">
        <v>0</v>
      </c>
      <c r="H93" s="23">
        <f t="shared" si="14"/>
        <v>500</v>
      </c>
      <c r="I93" s="22"/>
    </row>
    <row r="94" spans="1:9" s="12" customFormat="1" x14ac:dyDescent="0.2">
      <c r="A94" s="8">
        <v>61104</v>
      </c>
      <c r="B94" s="24" t="s">
        <v>60</v>
      </c>
      <c r="C94" s="14">
        <v>15055</v>
      </c>
      <c r="D94" s="14"/>
      <c r="E94" s="18">
        <f t="shared" si="16"/>
        <v>15055</v>
      </c>
      <c r="F94" s="18">
        <v>0</v>
      </c>
      <c r="G94" s="14">
        <v>0</v>
      </c>
      <c r="H94" s="23">
        <f t="shared" si="14"/>
        <v>15055</v>
      </c>
      <c r="I94" s="22"/>
    </row>
    <row r="95" spans="1:9" s="10" customFormat="1" x14ac:dyDescent="0.2">
      <c r="A95" s="7">
        <v>61108</v>
      </c>
      <c r="B95" s="4" t="s">
        <v>27</v>
      </c>
      <c r="C95" s="20">
        <v>1000</v>
      </c>
      <c r="D95" s="20"/>
      <c r="E95" s="18">
        <f t="shared" si="16"/>
        <v>1000</v>
      </c>
      <c r="F95" s="18">
        <v>0</v>
      </c>
      <c r="G95" s="20">
        <v>0</v>
      </c>
      <c r="H95" s="23">
        <f t="shared" si="14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0</v>
      </c>
      <c r="E96" s="30">
        <f>SUM(E91:E95)</f>
        <v>36555</v>
      </c>
      <c r="F96" s="30">
        <f>SUM(F91:F95)</f>
        <v>0</v>
      </c>
      <c r="G96" s="30">
        <f>SUM(G95)</f>
        <v>0</v>
      </c>
      <c r="H96" s="33">
        <f t="shared" si="14"/>
        <v>36555</v>
      </c>
      <c r="I96" s="11"/>
    </row>
    <row r="97" spans="1:10" s="10" customFormat="1" x14ac:dyDescent="0.2">
      <c r="A97" s="7">
        <v>61403</v>
      </c>
      <c r="B97" s="4" t="s">
        <v>75</v>
      </c>
      <c r="C97" s="20">
        <v>0</v>
      </c>
      <c r="D97" s="20"/>
      <c r="E97" s="18">
        <f>+C97+D97</f>
        <v>0</v>
      </c>
      <c r="F97" s="20">
        <v>0</v>
      </c>
      <c r="G97" s="20">
        <v>0</v>
      </c>
      <c r="H97" s="23">
        <f t="shared" si="14"/>
        <v>0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0</v>
      </c>
      <c r="E98" s="74">
        <f>+E97</f>
        <v>0</v>
      </c>
      <c r="F98" s="74">
        <f>+F97</f>
        <v>0</v>
      </c>
      <c r="G98" s="74">
        <f>SUM(G97)</f>
        <v>0</v>
      </c>
      <c r="H98" s="75">
        <f t="shared" si="14"/>
        <v>0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0</v>
      </c>
      <c r="G99" s="87">
        <v>0</v>
      </c>
      <c r="H99" s="99">
        <f>+H98+H96</f>
        <v>36555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0</v>
      </c>
      <c r="E100" s="81">
        <f>+E24+E73+E80+E99+E86</f>
        <v>10187404</v>
      </c>
      <c r="F100" s="86">
        <f>+F24+F73+F80+F99+F86</f>
        <v>1202797.1400000001</v>
      </c>
      <c r="G100" s="88">
        <f>+G24+G73+G80+G99+G86</f>
        <v>0</v>
      </c>
      <c r="H100" s="100">
        <f>+E100-F100-G100</f>
        <v>8984606.8599999994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8:H8"/>
    <mergeCell ref="B7:H7"/>
    <mergeCell ref="B2:I2"/>
    <mergeCell ref="B3:F3"/>
    <mergeCell ref="B4:F4"/>
    <mergeCell ref="A6:H6"/>
  </mergeCells>
  <phoneticPr fontId="5" type="noConversion"/>
  <pageMargins left="1.1811023622047245" right="0" top="0.98425196850393704" bottom="0.59055118110236227" header="0" footer="0"/>
  <pageSetup scale="90" orientation="landscape" horizontalDpi="4294967293" verticalDpi="4294967293" r:id="rId1"/>
  <headerFooter alignWithMargins="0">
    <oddFooter>&amp;C&amp;F
&amp;A&amp;R&amp;P</oddFooter>
  </headerFooter>
  <ignoredErrors>
    <ignoredError sqref="H9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workbookViewId="0">
      <selection activeCell="K77" sqref="K77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86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86"/>
      <c r="H3" s="17"/>
      <c r="I3" s="16"/>
    </row>
    <row r="4" spans="1:9" ht="14.25" x14ac:dyDescent="0.2">
      <c r="A4" s="17"/>
      <c r="B4" s="186"/>
      <c r="C4" s="186"/>
      <c r="D4" s="186"/>
      <c r="E4" s="186"/>
      <c r="F4" s="186"/>
      <c r="G4" s="186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85"/>
      <c r="B6" s="190" t="s">
        <v>91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3955826.77</v>
      </c>
      <c r="G9" s="106">
        <f>120197.8-23048.03</f>
        <v>97149.77</v>
      </c>
      <c r="H9" s="107">
        <f t="shared" ref="H9:H72" si="0">+E9-F9-G9</f>
        <v>813100.62000000011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/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4400</v>
      </c>
      <c r="H11" s="107">
        <f t="shared" si="0"/>
        <v>391500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921174.78</v>
      </c>
      <c r="G12" s="106">
        <f>50326.85-8931.95</f>
        <v>41394.899999999994</v>
      </c>
      <c r="H12" s="107">
        <f t="shared" si="0"/>
        <v>195933.7399999999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1600</v>
      </c>
      <c r="H14" s="107">
        <f t="shared" si="0"/>
        <v>80000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237421.06</v>
      </c>
      <c r="G15" s="106">
        <f>32335.82-4432.94</f>
        <v>27902.880000000001</v>
      </c>
      <c r="H15" s="107">
        <f t="shared" si="0"/>
        <v>53826.94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51292.5</v>
      </c>
      <c r="G16" s="106">
        <f>3335.41-449.18</f>
        <v>2886.23</v>
      </c>
      <c r="H16" s="107">
        <f t="shared" si="0"/>
        <v>11078.98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264423.53000000003</v>
      </c>
      <c r="G17" s="106">
        <f>39482.32-4281.23</f>
        <v>35201.089999999997</v>
      </c>
      <c r="H17" s="107">
        <f t="shared" si="0"/>
        <v>60627.299999999959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67836.100000000006</v>
      </c>
      <c r="G18" s="106">
        <f>7705.58-793.84</f>
        <v>6911.74</v>
      </c>
      <c r="H18" s="107">
        <f t="shared" si="0"/>
        <v>15079.289999999999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36889.839999999997</v>
      </c>
      <c r="G19" s="106">
        <v>1967.76</v>
      </c>
      <c r="H19" s="107">
        <f t="shared" si="0"/>
        <v>7767.4000000000033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  <c r="I20" s="187"/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53018.65</v>
      </c>
      <c r="G22" s="106">
        <v>6581.35</v>
      </c>
      <c r="H22" s="107">
        <f t="shared" si="0"/>
        <v>11849.999999999998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5762943.2999999998</v>
      </c>
      <c r="G24" s="92">
        <f t="shared" si="2"/>
        <v>226000.65</v>
      </c>
      <c r="H24" s="95">
        <f t="shared" si="2"/>
        <v>1862977.17</v>
      </c>
      <c r="I24" s="66"/>
      <c r="J24" s="66"/>
      <c r="K24" s="66"/>
    </row>
    <row r="25" spans="1:11" x14ac:dyDescent="0.2">
      <c r="A25" s="7">
        <v>54101</v>
      </c>
      <c r="B25" s="4" t="s">
        <v>12</v>
      </c>
      <c r="C25" s="101">
        <v>68030</v>
      </c>
      <c r="D25" s="101">
        <v>13742.84</v>
      </c>
      <c r="E25" s="106">
        <f t="shared" ref="E25:E42" si="3">+C25+D25</f>
        <v>81772.84</v>
      </c>
      <c r="F25" s="106">
        <v>68796.83</v>
      </c>
      <c r="G25" s="106">
        <v>2332.5</v>
      </c>
      <c r="H25" s="107">
        <f t="shared" si="0"/>
        <v>10643.509999999995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-291.77</v>
      </c>
      <c r="E26" s="106">
        <f t="shared" si="3"/>
        <v>708.23</v>
      </c>
      <c r="F26" s="106">
        <v>458.23</v>
      </c>
      <c r="G26" s="106">
        <v>0</v>
      </c>
      <c r="H26" s="107">
        <f t="shared" si="0"/>
        <v>250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5200.13</v>
      </c>
      <c r="E27" s="106">
        <f t="shared" si="3"/>
        <v>55045.13</v>
      </c>
      <c r="F27" s="106">
        <v>17476.09</v>
      </c>
      <c r="G27" s="106">
        <v>204.04</v>
      </c>
      <c r="H27" s="107">
        <f t="shared" si="0"/>
        <v>37364.999999999993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5427.22</v>
      </c>
      <c r="E28" s="106">
        <f t="shared" si="3"/>
        <v>29102.22</v>
      </c>
      <c r="F28" s="106">
        <v>24985.72</v>
      </c>
      <c r="G28" s="106">
        <v>116.5</v>
      </c>
      <c r="H28" s="107">
        <f t="shared" si="0"/>
        <v>4000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674.65</v>
      </c>
      <c r="E30" s="106">
        <f t="shared" si="3"/>
        <v>12774.65</v>
      </c>
      <c r="F30" s="106">
        <v>12074.42</v>
      </c>
      <c r="G30" s="106">
        <v>0.23</v>
      </c>
      <c r="H30" s="107">
        <f t="shared" si="0"/>
        <v>699.99999999999955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20</v>
      </c>
      <c r="H33" s="107">
        <f t="shared" si="0"/>
        <v>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567.15</v>
      </c>
      <c r="E35" s="106">
        <f t="shared" si="3"/>
        <v>1967.15</v>
      </c>
      <c r="F35" s="106">
        <v>1394.56</v>
      </c>
      <c r="G35" s="106">
        <v>128.41999999999999</v>
      </c>
      <c r="H35" s="107">
        <f t="shared" si="0"/>
        <v>444.17000000000019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789.38</v>
      </c>
      <c r="G36" s="106">
        <v>482</v>
      </c>
      <c r="H36" s="107">
        <f t="shared" si="0"/>
        <v>275.00000000000011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874.7</v>
      </c>
      <c r="E37" s="106">
        <f t="shared" si="3"/>
        <v>6454.7</v>
      </c>
      <c r="F37" s="106">
        <v>6454.69</v>
      </c>
      <c r="G37" s="106">
        <v>0.01</v>
      </c>
      <c r="H37" s="107">
        <f t="shared" si="0"/>
        <v>2.1827852025868566E-13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750.45</v>
      </c>
      <c r="E38" s="106">
        <f t="shared" si="3"/>
        <v>12950.45</v>
      </c>
      <c r="F38" s="106">
        <v>12554.65</v>
      </c>
      <c r="G38" s="106">
        <v>45.8</v>
      </c>
      <c r="H38" s="107">
        <f t="shared" si="0"/>
        <v>350.00000000000108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753.34</v>
      </c>
      <c r="E40" s="106">
        <f t="shared" si="3"/>
        <v>2353.34</v>
      </c>
      <c r="F40" s="106">
        <v>2071.54</v>
      </c>
      <c r="G40" s="106">
        <v>31.8</v>
      </c>
      <c r="H40" s="107">
        <f t="shared" si="0"/>
        <v>250.00000000000017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2116.42</v>
      </c>
      <c r="E41" s="106">
        <f t="shared" si="3"/>
        <v>4216.42</v>
      </c>
      <c r="F41" s="106">
        <v>3150.22</v>
      </c>
      <c r="G41" s="106">
        <v>66.2</v>
      </c>
      <c r="H41" s="107">
        <f t="shared" si="0"/>
        <v>1000.0000000000002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27865.86</v>
      </c>
      <c r="E42" s="106">
        <f t="shared" si="3"/>
        <v>485684.86</v>
      </c>
      <c r="F42" s="106">
        <v>463952.77</v>
      </c>
      <c r="G42" s="106">
        <v>4874.2299999999996</v>
      </c>
      <c r="H42" s="111">
        <f t="shared" si="0"/>
        <v>16857.859999999968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55521.680000000008</v>
      </c>
      <c r="E43" s="46">
        <f>SUM(E25:E42)</f>
        <v>759070.67999999993</v>
      </c>
      <c r="F43" s="46">
        <f>SUM(F25:F42)</f>
        <v>668833.41</v>
      </c>
      <c r="G43" s="46">
        <f>SUM(G25:G42)</f>
        <v>8301.73</v>
      </c>
      <c r="H43" s="47">
        <f t="shared" si="0"/>
        <v>81935.539999999906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688.37</v>
      </c>
      <c r="E47" s="106">
        <f t="shared" ref="E47:E50" si="4">+C47+D47</f>
        <v>179523.37</v>
      </c>
      <c r="F47" s="106">
        <v>144989.12</v>
      </c>
      <c r="G47" s="106">
        <v>2966.88</v>
      </c>
      <c r="H47" s="113">
        <f t="shared" si="0"/>
        <v>31567.37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-6755.37</v>
      </c>
      <c r="E48" s="106">
        <f t="shared" si="4"/>
        <v>35844.629999999997</v>
      </c>
      <c r="F48" s="106">
        <v>16428.849999999999</v>
      </c>
      <c r="G48" s="106">
        <v>6808.16</v>
      </c>
      <c r="H48" s="107">
        <f t="shared" si="0"/>
        <v>12607.619999999999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121009.94</v>
      </c>
      <c r="G49" s="106">
        <v>6698.16</v>
      </c>
      <c r="H49" s="111">
        <f t="shared" si="0"/>
        <v>20652.500000000004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-886.69</v>
      </c>
      <c r="E50" s="106">
        <f t="shared" si="4"/>
        <v>313.30999999999995</v>
      </c>
      <c r="F50" s="106">
        <v>63.31</v>
      </c>
      <c r="G50" s="106">
        <v>0</v>
      </c>
      <c r="H50" s="114">
        <f t="shared" si="0"/>
        <v>249.99999999999994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-7083.09</v>
      </c>
      <c r="E51" s="30">
        <f>SUM(E47:E50)</f>
        <v>364041.91</v>
      </c>
      <c r="F51" s="30">
        <f>SUM(F47:F50)</f>
        <v>282491.22000000003</v>
      </c>
      <c r="G51" s="30">
        <f>SUM(G47:G50)</f>
        <v>16473.2</v>
      </c>
      <c r="H51" s="33">
        <f t="shared" si="0"/>
        <v>65077.489999999947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-11912.94</v>
      </c>
      <c r="E52" s="106">
        <f t="shared" ref="E52:E63" si="5">+C52+D52</f>
        <v>18647.059999999998</v>
      </c>
      <c r="F52" s="106">
        <v>16024.31</v>
      </c>
      <c r="G52" s="106">
        <v>646.80999999999995</v>
      </c>
      <c r="H52" s="114">
        <f t="shared" si="0"/>
        <v>1975.9399999999982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-1113.93</v>
      </c>
      <c r="E53" s="106">
        <f t="shared" si="5"/>
        <v>61886.07</v>
      </c>
      <c r="F53" s="106">
        <v>50426.76</v>
      </c>
      <c r="G53" s="106">
        <v>1412.2</v>
      </c>
      <c r="H53" s="107">
        <f t="shared" si="0"/>
        <v>10047.109999999997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-48781.49</v>
      </c>
      <c r="E55" s="106">
        <f t="shared" si="5"/>
        <v>35418.51</v>
      </c>
      <c r="F55" s="106">
        <v>2588.08</v>
      </c>
      <c r="G55" s="106">
        <v>0</v>
      </c>
      <c r="H55" s="114">
        <f t="shared" si="0"/>
        <v>32830.43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120.32</v>
      </c>
      <c r="H57" s="114">
        <f t="shared" si="0"/>
        <v>120.32000000000033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-197.18</v>
      </c>
      <c r="E58" s="106">
        <f t="shared" si="5"/>
        <v>2302.8200000000002</v>
      </c>
      <c r="F58" s="106">
        <v>1893.2</v>
      </c>
      <c r="G58" s="106">
        <v>409.62</v>
      </c>
      <c r="H58" s="114">
        <f t="shared" si="0"/>
        <v>0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-6934.2</v>
      </c>
      <c r="E59" s="106">
        <f t="shared" si="5"/>
        <v>17465.8</v>
      </c>
      <c r="F59" s="106">
        <v>11829.3</v>
      </c>
      <c r="G59" s="106">
        <v>128.5</v>
      </c>
      <c r="H59" s="114">
        <f t="shared" si="0"/>
        <v>5508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11959.31</v>
      </c>
      <c r="E60" s="106">
        <f t="shared" si="5"/>
        <v>40059.31</v>
      </c>
      <c r="F60" s="106">
        <v>18184.41</v>
      </c>
      <c r="G60" s="106">
        <v>2321.9</v>
      </c>
      <c r="H60" s="114">
        <f t="shared" si="0"/>
        <v>19552.999999999996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1445.62</v>
      </c>
      <c r="E61" s="106">
        <f t="shared" si="5"/>
        <v>25445.62</v>
      </c>
      <c r="F61" s="106">
        <v>25359.59</v>
      </c>
      <c r="G61" s="106">
        <v>12.29</v>
      </c>
      <c r="H61" s="114">
        <f t="shared" si="0"/>
        <v>73.739999999998844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3.54</v>
      </c>
      <c r="H62" s="114">
        <f t="shared" si="0"/>
        <v>3.5399999999580904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5162.8</v>
      </c>
      <c r="E63" s="106">
        <f t="shared" si="5"/>
        <v>52242.8</v>
      </c>
      <c r="F63" s="106">
        <v>48361.16</v>
      </c>
      <c r="G63" s="106">
        <v>955.34</v>
      </c>
      <c r="H63" s="114">
        <f t="shared" si="0"/>
        <v>2926.2999999999993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-45960.609999999993</v>
      </c>
      <c r="E64" s="30">
        <f>SUM(E52:E63)</f>
        <v>853159.39</v>
      </c>
      <c r="F64" s="30">
        <f>SUM(F52:F63)</f>
        <v>770110.49000000011</v>
      </c>
      <c r="G64" s="30">
        <f>SUM(G52:G63)</f>
        <v>6010.52</v>
      </c>
      <c r="H64" s="33">
        <f t="shared" si="0"/>
        <v>77038.379999999903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12675.35</v>
      </c>
      <c r="E65" s="106">
        <f t="shared" ref="E65:E67" si="6">+C65+D65</f>
        <v>20675.349999999999</v>
      </c>
      <c r="F65" s="106">
        <v>18675.349999999999</v>
      </c>
      <c r="G65" s="101">
        <v>0</v>
      </c>
      <c r="H65" s="114">
        <f t="shared" si="0"/>
        <v>2000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687</v>
      </c>
      <c r="E66" s="106">
        <f t="shared" si="6"/>
        <v>12147</v>
      </c>
      <c r="F66" s="106">
        <v>6672</v>
      </c>
      <c r="G66" s="106">
        <v>2381</v>
      </c>
      <c r="H66" s="114">
        <f t="shared" si="0"/>
        <v>3094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11355</v>
      </c>
      <c r="E67" s="106">
        <f t="shared" si="6"/>
        <v>31355</v>
      </c>
      <c r="F67" s="106">
        <v>25360</v>
      </c>
      <c r="G67" s="106">
        <v>200</v>
      </c>
      <c r="H67" s="114">
        <f t="shared" si="0"/>
        <v>5795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24717.35</v>
      </c>
      <c r="E68" s="30">
        <f>SUM(E65:E67)</f>
        <v>64177.35</v>
      </c>
      <c r="F68" s="30">
        <f>SUM(F65:F67)</f>
        <v>50707.35</v>
      </c>
      <c r="G68" s="30">
        <f>SUM(G65:G67)</f>
        <v>2581</v>
      </c>
      <c r="H68" s="33">
        <f t="shared" si="0"/>
        <v>10889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-29744.799999999999</v>
      </c>
      <c r="E70" s="106">
        <f t="shared" si="7"/>
        <v>6255.2000000000007</v>
      </c>
      <c r="F70" s="106">
        <v>0</v>
      </c>
      <c r="G70" s="106">
        <v>395.5</v>
      </c>
      <c r="H70" s="114">
        <f t="shared" si="0"/>
        <v>5859.7000000000007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-27195.329999999998</v>
      </c>
      <c r="E71" s="30">
        <f>SUM(E69:E70)</f>
        <v>10804.67</v>
      </c>
      <c r="F71" s="30">
        <f>SUM(F69:F70)</f>
        <v>4549.47</v>
      </c>
      <c r="G71" s="30">
        <f>SUM(G69:G70)</f>
        <v>395.5</v>
      </c>
      <c r="H71" s="114">
        <f t="shared" si="0"/>
        <v>5859.7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1776691.94</v>
      </c>
      <c r="G72" s="90">
        <f>+G71+G68+G64+G51+G43</f>
        <v>33761.949999999997</v>
      </c>
      <c r="H72" s="97">
        <f t="shared" si="0"/>
        <v>240800.11000000004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f>-11150.5-3195.17</f>
        <v>-14345.67</v>
      </c>
      <c r="E75" s="106">
        <f t="shared" ref="E75:E77" si="9">+C75+D75</f>
        <v>132654.32999999999</v>
      </c>
      <c r="F75" s="106">
        <v>35284.28</v>
      </c>
      <c r="G75" s="106"/>
      <c r="H75" s="114">
        <f t="shared" si="8"/>
        <v>97370.049999999988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4768.6899999999996</v>
      </c>
      <c r="H76" s="114">
        <f t="shared" si="8"/>
        <v>63.460000000001855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-18508.53</v>
      </c>
      <c r="E78" s="30">
        <f>SUM(E75:E77)</f>
        <v>176516.46999999997</v>
      </c>
      <c r="F78" s="30">
        <f>SUM(F75:F77)</f>
        <v>74314.26999999999</v>
      </c>
      <c r="G78" s="30">
        <f>SUM(G75:G77)</f>
        <v>4768.6899999999996</v>
      </c>
      <c r="H78" s="33">
        <f>+E78-F78-G78</f>
        <v>97433.50999999998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-14245.169999999998</v>
      </c>
      <c r="E81" s="76">
        <f t="shared" si="12"/>
        <v>184179.83</v>
      </c>
      <c r="F81" s="83">
        <f>+F74+F78+F80</f>
        <v>81977.62999999999</v>
      </c>
      <c r="G81" s="90">
        <f>+G74+G78</f>
        <v>4768.6899999999996</v>
      </c>
      <c r="H81" s="97">
        <f>+E81-F81-G81</f>
        <v>97433.51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2000</v>
      </c>
      <c r="H82" s="114">
        <f t="shared" si="8"/>
        <v>2000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2000</v>
      </c>
      <c r="H84" s="33">
        <f t="shared" si="8"/>
        <v>2000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5144.68</v>
      </c>
      <c r="G85" s="101">
        <v>355.32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5144.68</v>
      </c>
      <c r="G86" s="51">
        <f>SUM(G85)</f>
        <v>355.32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5144.68</v>
      </c>
      <c r="G87" s="89">
        <f t="shared" si="14"/>
        <v>2355.3200000000002</v>
      </c>
      <c r="H87" s="98">
        <f t="shared" si="14"/>
        <v>2000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f>4930.94+360.44</f>
        <v>5291.3799999999992</v>
      </c>
      <c r="E92" s="112">
        <f t="shared" ref="E92:E96" si="15">+C92+D92</f>
        <v>10291.379999999999</v>
      </c>
      <c r="F92" s="112">
        <v>10224.879999999999</v>
      </c>
      <c r="G92" s="117">
        <v>0</v>
      </c>
      <c r="H92" s="113">
        <f t="shared" si="8"/>
        <v>66.5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f>-8474.08+1202.91</f>
        <v>-7271.17</v>
      </c>
      <c r="E93" s="106">
        <f t="shared" si="15"/>
        <v>7728.83</v>
      </c>
      <c r="F93" s="106">
        <v>7728.83</v>
      </c>
      <c r="G93" s="108">
        <v>0</v>
      </c>
      <c r="H93" s="114">
        <f t="shared" si="8"/>
        <v>0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f>-500+55</f>
        <v>-445</v>
      </c>
      <c r="E94" s="106">
        <f t="shared" si="15"/>
        <v>55</v>
      </c>
      <c r="F94" s="106">
        <v>55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f>45194.71+385</f>
        <v>45579.71</v>
      </c>
      <c r="E95" s="106">
        <f t="shared" si="15"/>
        <v>60634.71</v>
      </c>
      <c r="F95" s="106">
        <v>60634.71</v>
      </c>
      <c r="G95" s="108">
        <v>0</v>
      </c>
      <c r="H95" s="114">
        <f t="shared" si="8"/>
        <v>0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45905.799999999996</v>
      </c>
      <c r="E97" s="30">
        <f>SUM(E92:E96)</f>
        <v>82460.800000000003</v>
      </c>
      <c r="F97" s="30">
        <f>SUM(F92:F96)</f>
        <v>82394.3</v>
      </c>
      <c r="G97" s="30">
        <f>SUM(G96)</f>
        <v>0</v>
      </c>
      <c r="H97" s="33">
        <f t="shared" si="8"/>
        <v>66.5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f>6896.43+1191.82</f>
        <v>8088.25</v>
      </c>
      <c r="E98" s="106">
        <f>+C98+D98</f>
        <v>8088.25</v>
      </c>
      <c r="F98" s="101">
        <v>8088.25</v>
      </c>
      <c r="G98" s="101">
        <v>0</v>
      </c>
      <c r="H98" s="114">
        <f t="shared" si="8"/>
        <v>0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8088.25</v>
      </c>
      <c r="E99" s="73">
        <f>+E98</f>
        <v>8088.25</v>
      </c>
      <c r="F99" s="73">
        <f>+F98</f>
        <v>8088.25</v>
      </c>
      <c r="G99" s="73">
        <f>SUM(G98)</f>
        <v>0</v>
      </c>
      <c r="H99" s="180">
        <f t="shared" si="8"/>
        <v>0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53994.049999999996</v>
      </c>
      <c r="E100" s="80">
        <f>+E99+E97</f>
        <v>90549.05</v>
      </c>
      <c r="F100" s="85">
        <f>+F99+F97</f>
        <v>90482.55</v>
      </c>
      <c r="G100" s="87">
        <v>0</v>
      </c>
      <c r="H100" s="99">
        <f>+H99+H97</f>
        <v>66.5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7717240.0999999996</v>
      </c>
      <c r="G101" s="88">
        <f>+G24+G72+G81+G100+G87</f>
        <v>266886.61</v>
      </c>
      <c r="H101" s="100">
        <f>+E101-F101-G101</f>
        <v>2203277.2900000024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headerFooter>
    <oddFooter>&amp;C&amp;F
&amp;A&amp;R&amp;P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workbookViewId="0">
      <selection activeCell="C108" sqref="C108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89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89"/>
      <c r="H3" s="17"/>
      <c r="I3" s="16"/>
    </row>
    <row r="4" spans="1:9" ht="14.25" x14ac:dyDescent="0.2">
      <c r="A4" s="17"/>
      <c r="B4" s="189"/>
      <c r="C4" s="189"/>
      <c r="D4" s="189"/>
      <c r="E4" s="189"/>
      <c r="F4" s="189"/>
      <c r="G4" s="189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88"/>
      <c r="B6" s="190" t="s">
        <v>92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-115526.96</v>
      </c>
      <c r="E9" s="106">
        <f>+C9+D9</f>
        <v>4866073.04</v>
      </c>
      <c r="F9" s="106">
        <v>4347066.5999999996</v>
      </c>
      <c r="G9" s="106">
        <f>135501.65-23048.03</f>
        <v>112453.62</v>
      </c>
      <c r="H9" s="107">
        <f t="shared" ref="H9:H72" si="0">+E9-F9-G9</f>
        <v>406552.82000000041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/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4400</v>
      </c>
      <c r="H11" s="107">
        <f t="shared" si="0"/>
        <v>391500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1015597.61</v>
      </c>
      <c r="G12" s="106">
        <f>53800.07-8931.95</f>
        <v>44868.119999999995</v>
      </c>
      <c r="H12" s="107">
        <f t="shared" si="0"/>
        <v>98037.689999999944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1600</v>
      </c>
      <c r="H14" s="107">
        <f t="shared" si="0"/>
        <v>80000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260773.06</v>
      </c>
      <c r="G15" s="106">
        <f>35895.28-4432.94</f>
        <v>31462.34</v>
      </c>
      <c r="H15" s="107">
        <f t="shared" si="0"/>
        <v>26915.480000000007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56571.6</v>
      </c>
      <c r="G16" s="106">
        <f>3589.3-449.18</f>
        <v>3140.1200000000003</v>
      </c>
      <c r="H16" s="107">
        <f t="shared" si="0"/>
        <v>5545.99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290496.46999999997</v>
      </c>
      <c r="G17" s="106">
        <f>43718.03-4281.23</f>
        <v>39436.800000000003</v>
      </c>
      <c r="H17" s="107">
        <f t="shared" si="0"/>
        <v>30318.650000000009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74569.58</v>
      </c>
      <c r="G18" s="106">
        <f>8435.12-793.84</f>
        <v>7641.2800000000007</v>
      </c>
      <c r="H18" s="107">
        <f t="shared" si="0"/>
        <v>7616.2700000000023</v>
      </c>
    </row>
    <row r="19" spans="1:11" x14ac:dyDescent="0.2">
      <c r="A19" s="7">
        <v>51601</v>
      </c>
      <c r="B19" s="4" t="s">
        <v>10</v>
      </c>
      <c r="C19" s="101">
        <v>46625</v>
      </c>
      <c r="D19" s="101">
        <v>4.12</v>
      </c>
      <c r="E19" s="106">
        <f t="shared" si="1"/>
        <v>46629.120000000003</v>
      </c>
      <c r="F19" s="106">
        <v>40775.599999999999</v>
      </c>
      <c r="G19" s="106">
        <v>1967.76</v>
      </c>
      <c r="H19" s="107">
        <f t="shared" si="0"/>
        <v>3885.7600000000039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  <c r="I20" s="187"/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53902.65</v>
      </c>
      <c r="G22" s="106">
        <v>6997.35</v>
      </c>
      <c r="H22" s="107">
        <f t="shared" si="0"/>
        <v>10549.999999999998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6314813.2399999993</v>
      </c>
      <c r="G24" s="92">
        <f t="shared" si="2"/>
        <v>253972.32</v>
      </c>
      <c r="H24" s="95">
        <f t="shared" si="2"/>
        <v>1283135.5600000003</v>
      </c>
      <c r="I24" s="66"/>
      <c r="J24" s="66"/>
      <c r="K24" s="66"/>
    </row>
    <row r="25" spans="1:11" x14ac:dyDescent="0.2">
      <c r="A25" s="7">
        <v>54101</v>
      </c>
      <c r="B25" s="4" t="s">
        <v>12</v>
      </c>
      <c r="C25" s="101">
        <v>68030</v>
      </c>
      <c r="D25" s="101">
        <v>14409.84</v>
      </c>
      <c r="E25" s="106">
        <f t="shared" ref="E25:E42" si="3">+C25+D25</f>
        <v>82439.839999999997</v>
      </c>
      <c r="F25" s="106">
        <v>69046.83</v>
      </c>
      <c r="G25" s="106">
        <v>2332.5</v>
      </c>
      <c r="H25" s="107">
        <f t="shared" si="0"/>
        <v>11060.509999999995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-291.77</v>
      </c>
      <c r="E26" s="106">
        <f t="shared" si="3"/>
        <v>708.23</v>
      </c>
      <c r="F26" s="106">
        <v>458.23</v>
      </c>
      <c r="G26" s="106">
        <v>0</v>
      </c>
      <c r="H26" s="107">
        <f t="shared" si="0"/>
        <v>250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6652.13</v>
      </c>
      <c r="E27" s="106">
        <f t="shared" si="3"/>
        <v>56497.13</v>
      </c>
      <c r="F27" s="106">
        <v>19648.09</v>
      </c>
      <c r="G27" s="106">
        <v>204.04</v>
      </c>
      <c r="H27" s="107">
        <f t="shared" si="0"/>
        <v>36644.999999999993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5427.22</v>
      </c>
      <c r="E28" s="106">
        <f t="shared" si="3"/>
        <v>29102.22</v>
      </c>
      <c r="F28" s="106">
        <v>24985.72</v>
      </c>
      <c r="G28" s="106">
        <v>116.5</v>
      </c>
      <c r="H28" s="107">
        <f t="shared" si="0"/>
        <v>4000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263.19</v>
      </c>
      <c r="E29" s="106">
        <f t="shared" si="3"/>
        <v>663.19</v>
      </c>
      <c r="F29" s="106">
        <v>564.49</v>
      </c>
      <c r="G29" s="106">
        <v>0</v>
      </c>
      <c r="H29" s="107">
        <f t="shared" si="0"/>
        <v>98.700000000000045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674.65</v>
      </c>
      <c r="E30" s="106">
        <f t="shared" si="3"/>
        <v>12774.65</v>
      </c>
      <c r="F30" s="106">
        <v>12074.42</v>
      </c>
      <c r="G30" s="106">
        <v>0.23</v>
      </c>
      <c r="H30" s="107">
        <f t="shared" si="0"/>
        <v>699.99999999999955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20</v>
      </c>
      <c r="H33" s="107">
        <f t="shared" si="0"/>
        <v>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582.45000000000005</v>
      </c>
      <c r="E35" s="106">
        <f t="shared" si="3"/>
        <v>1982.45</v>
      </c>
      <c r="F35" s="106">
        <v>1394.56</v>
      </c>
      <c r="G35" s="106">
        <v>128.41999999999999</v>
      </c>
      <c r="H35" s="107">
        <f t="shared" si="0"/>
        <v>459.47000000000014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789.38</v>
      </c>
      <c r="G36" s="106">
        <v>482</v>
      </c>
      <c r="H36" s="107">
        <f t="shared" si="0"/>
        <v>275.00000000000011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897.1</v>
      </c>
      <c r="E37" s="106">
        <f t="shared" si="3"/>
        <v>6477.1</v>
      </c>
      <c r="F37" s="106">
        <v>6477.09</v>
      </c>
      <c r="G37" s="106">
        <v>0.01</v>
      </c>
      <c r="H37" s="107">
        <f t="shared" si="0"/>
        <v>2.1827852025868566E-13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750.45</v>
      </c>
      <c r="E38" s="106">
        <f t="shared" si="3"/>
        <v>12950.45</v>
      </c>
      <c r="F38" s="106">
        <v>12554.65</v>
      </c>
      <c r="G38" s="106">
        <v>395.8</v>
      </c>
      <c r="H38" s="107">
        <f t="shared" si="0"/>
        <v>1.0800249583553523E-12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1108.02</v>
      </c>
      <c r="E40" s="106">
        <f t="shared" si="3"/>
        <v>2708.02</v>
      </c>
      <c r="F40" s="106">
        <v>2071.54</v>
      </c>
      <c r="G40" s="106">
        <v>31.8</v>
      </c>
      <c r="H40" s="107">
        <f t="shared" si="0"/>
        <v>604.68000000000006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2116.42</v>
      </c>
      <c r="E41" s="106">
        <f t="shared" si="3"/>
        <v>4216.42</v>
      </c>
      <c r="F41" s="106">
        <v>3150.22</v>
      </c>
      <c r="G41" s="106">
        <v>66.2</v>
      </c>
      <c r="H41" s="107">
        <f t="shared" si="0"/>
        <v>1000.0000000000002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26918.46</v>
      </c>
      <c r="E42" s="106">
        <f t="shared" si="3"/>
        <v>484737.46</v>
      </c>
      <c r="F42" s="106">
        <v>463952.77</v>
      </c>
      <c r="G42" s="106">
        <v>4874.2299999999996</v>
      </c>
      <c r="H42" s="111">
        <f t="shared" si="0"/>
        <v>15910.460000000003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57184.36</v>
      </c>
      <c r="E43" s="46">
        <f>SUM(E25:E42)</f>
        <v>760733.36</v>
      </c>
      <c r="F43" s="46">
        <f>SUM(F25:F42)</f>
        <v>671277.81</v>
      </c>
      <c r="G43" s="46">
        <f>SUM(G25:G42)</f>
        <v>8651.73</v>
      </c>
      <c r="H43" s="47">
        <f t="shared" si="0"/>
        <v>80803.819999999934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-691.63</v>
      </c>
      <c r="E47" s="106">
        <f t="shared" ref="E47:E50" si="4">+C47+D47</f>
        <v>178143.37</v>
      </c>
      <c r="F47" s="106">
        <v>158451.75</v>
      </c>
      <c r="G47" s="106">
        <v>2966.88</v>
      </c>
      <c r="H47" s="113">
        <f t="shared" si="0"/>
        <v>16724.739999999994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-6755.37</v>
      </c>
      <c r="E48" s="106">
        <f t="shared" si="4"/>
        <v>35844.629999999997</v>
      </c>
      <c r="F48" s="106">
        <v>17773.03</v>
      </c>
      <c r="G48" s="106">
        <v>6808.16</v>
      </c>
      <c r="H48" s="107">
        <f t="shared" si="0"/>
        <v>11263.439999999999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-161.4</v>
      </c>
      <c r="E49" s="106">
        <f t="shared" si="4"/>
        <v>148328.6</v>
      </c>
      <c r="F49" s="106">
        <v>126046.39</v>
      </c>
      <c r="G49" s="106">
        <v>6698.16</v>
      </c>
      <c r="H49" s="111">
        <f t="shared" si="0"/>
        <v>15584.050000000007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-886.69</v>
      </c>
      <c r="E50" s="106">
        <f t="shared" si="4"/>
        <v>313.30999999999995</v>
      </c>
      <c r="F50" s="106">
        <v>63.31</v>
      </c>
      <c r="G50" s="106">
        <v>0</v>
      </c>
      <c r="H50" s="114">
        <f t="shared" si="0"/>
        <v>249.99999999999994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-8495.09</v>
      </c>
      <c r="E51" s="30">
        <f>SUM(E47:E50)</f>
        <v>362629.91</v>
      </c>
      <c r="F51" s="30">
        <f>SUM(F47:F50)</f>
        <v>302334.48</v>
      </c>
      <c r="G51" s="30">
        <f>SUM(G47:G50)</f>
        <v>16473.2</v>
      </c>
      <c r="H51" s="33">
        <f t="shared" si="0"/>
        <v>43822.229999999996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-11912.94</v>
      </c>
      <c r="E52" s="106">
        <f t="shared" ref="E52:E63" si="5">+C52+D52</f>
        <v>18647.059999999998</v>
      </c>
      <c r="F52" s="106">
        <v>16024.31</v>
      </c>
      <c r="G52" s="106">
        <v>646.80999999999995</v>
      </c>
      <c r="H52" s="114">
        <f t="shared" si="0"/>
        <v>1975.9399999999982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-1113.93</v>
      </c>
      <c r="E53" s="106">
        <f t="shared" si="5"/>
        <v>61886.07</v>
      </c>
      <c r="F53" s="106">
        <v>53790.59</v>
      </c>
      <c r="G53" s="106">
        <v>1412.2</v>
      </c>
      <c r="H53" s="107">
        <f t="shared" si="0"/>
        <v>6683.2800000000034</v>
      </c>
    </row>
    <row r="54" spans="1:8" x14ac:dyDescent="0.2">
      <c r="A54" s="7">
        <v>54304</v>
      </c>
      <c r="B54" s="4" t="s">
        <v>36</v>
      </c>
      <c r="C54" s="101">
        <v>4000</v>
      </c>
      <c r="D54" s="101">
        <v>-3981.6</v>
      </c>
      <c r="E54" s="106">
        <f t="shared" si="5"/>
        <v>18.400000000000091</v>
      </c>
      <c r="F54" s="106"/>
      <c r="G54" s="106">
        <v>0</v>
      </c>
      <c r="H54" s="114">
        <f t="shared" si="0"/>
        <v>18.400000000000091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-58924.49</v>
      </c>
      <c r="E55" s="106">
        <f t="shared" si="5"/>
        <v>25275.510000000002</v>
      </c>
      <c r="F55" s="106">
        <v>3221.08</v>
      </c>
      <c r="G55" s="106">
        <v>0</v>
      </c>
      <c r="H55" s="114">
        <f t="shared" si="0"/>
        <v>22054.43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120.32</v>
      </c>
      <c r="H57" s="114">
        <f t="shared" si="0"/>
        <v>120.32000000000033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-197.18</v>
      </c>
      <c r="E58" s="106">
        <f t="shared" si="5"/>
        <v>2302.8200000000002</v>
      </c>
      <c r="F58" s="106">
        <v>1893.2</v>
      </c>
      <c r="G58" s="106">
        <v>409.62</v>
      </c>
      <c r="H58" s="114">
        <f t="shared" si="0"/>
        <v>0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-7314.2</v>
      </c>
      <c r="E59" s="106">
        <f t="shared" si="5"/>
        <v>17085.8</v>
      </c>
      <c r="F59" s="106">
        <v>12894.3</v>
      </c>
      <c r="G59" s="106">
        <v>128.5</v>
      </c>
      <c r="H59" s="114">
        <f t="shared" si="0"/>
        <v>4063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14875.91</v>
      </c>
      <c r="E60" s="106">
        <f t="shared" si="5"/>
        <v>42975.91</v>
      </c>
      <c r="F60" s="106">
        <v>36389.01</v>
      </c>
      <c r="G60" s="106">
        <v>2321.9</v>
      </c>
      <c r="H60" s="114">
        <f t="shared" si="0"/>
        <v>4265.0000000000018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1445.62</v>
      </c>
      <c r="E61" s="106">
        <f t="shared" si="5"/>
        <v>25445.62</v>
      </c>
      <c r="F61" s="106">
        <v>25359.59</v>
      </c>
      <c r="G61" s="106">
        <v>12.29</v>
      </c>
      <c r="H61" s="114">
        <f t="shared" si="0"/>
        <v>73.739999999998844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3.54</v>
      </c>
      <c r="H62" s="114">
        <f t="shared" si="0"/>
        <v>3.5399999999580904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11687.8</v>
      </c>
      <c r="E63" s="106">
        <f t="shared" si="5"/>
        <v>58767.8</v>
      </c>
      <c r="F63" s="106">
        <v>56464.7</v>
      </c>
      <c r="G63" s="106">
        <v>955.34</v>
      </c>
      <c r="H63" s="114">
        <f t="shared" si="0"/>
        <v>1347.7600000000057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-51023.609999999986</v>
      </c>
      <c r="E64" s="30">
        <f>SUM(E52:E63)</f>
        <v>848096.39</v>
      </c>
      <c r="F64" s="30">
        <f>SUM(F52:F63)</f>
        <v>801480.46</v>
      </c>
      <c r="G64" s="30">
        <f>SUM(G52:G63)</f>
        <v>6010.52</v>
      </c>
      <c r="H64" s="33">
        <f t="shared" si="0"/>
        <v>40605.410000000047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17389.009999999998</v>
      </c>
      <c r="E65" s="106">
        <f t="shared" ref="E65:E67" si="6">+C65+D65</f>
        <v>25389.01</v>
      </c>
      <c r="F65" s="106">
        <v>25100.84</v>
      </c>
      <c r="G65" s="101">
        <v>0</v>
      </c>
      <c r="H65" s="114">
        <f t="shared" si="0"/>
        <v>288.16999999999825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687</v>
      </c>
      <c r="E66" s="106">
        <f t="shared" si="6"/>
        <v>12147</v>
      </c>
      <c r="F66" s="106">
        <v>7130</v>
      </c>
      <c r="G66" s="106">
        <v>2381</v>
      </c>
      <c r="H66" s="114">
        <f t="shared" si="0"/>
        <v>2636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12735</v>
      </c>
      <c r="E67" s="106">
        <f t="shared" si="6"/>
        <v>32735</v>
      </c>
      <c r="F67" s="106">
        <v>32535</v>
      </c>
      <c r="G67" s="106">
        <v>200</v>
      </c>
      <c r="H67" s="114">
        <f t="shared" si="0"/>
        <v>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30811.01</v>
      </c>
      <c r="E68" s="30">
        <f>SUM(E65:E67)</f>
        <v>70271.009999999995</v>
      </c>
      <c r="F68" s="30">
        <f>SUM(F65:F67)</f>
        <v>64765.84</v>
      </c>
      <c r="G68" s="30">
        <f>SUM(G65:G67)</f>
        <v>2581</v>
      </c>
      <c r="H68" s="33">
        <f t="shared" si="0"/>
        <v>2924.1699999999983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-28378.46</v>
      </c>
      <c r="E70" s="106">
        <f t="shared" si="7"/>
        <v>7621.5400000000009</v>
      </c>
      <c r="F70" s="106">
        <v>6080</v>
      </c>
      <c r="G70" s="106">
        <v>395.5</v>
      </c>
      <c r="H70" s="114">
        <f t="shared" si="0"/>
        <v>1146.0400000000009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-25828.989999999998</v>
      </c>
      <c r="E71" s="30">
        <f>SUM(E69:E70)</f>
        <v>12171.01</v>
      </c>
      <c r="F71" s="30">
        <f>SUM(F69:F70)</f>
        <v>10629.470000000001</v>
      </c>
      <c r="G71" s="30">
        <f>SUM(G69:G70)</f>
        <v>395.5</v>
      </c>
      <c r="H71" s="114">
        <f t="shared" si="0"/>
        <v>1146.0399999999991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2647.6800000000221</v>
      </c>
      <c r="E72" s="76">
        <f>+E71+E68+E64+E51+E43</f>
        <v>2053901.6800000002</v>
      </c>
      <c r="F72" s="83">
        <f>+F71+F68+F64+F51+F43</f>
        <v>1850488.06</v>
      </c>
      <c r="G72" s="90">
        <f>+G71+G68+G64+G51+G43</f>
        <v>34111.949999999997</v>
      </c>
      <c r="H72" s="97">
        <f t="shared" si="0"/>
        <v>169301.6700000001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100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v>-109582.11</v>
      </c>
      <c r="E75" s="106">
        <f t="shared" ref="E75:E77" si="9">+C75+D75</f>
        <v>37417.89</v>
      </c>
      <c r="F75" s="106">
        <v>35284.28</v>
      </c>
      <c r="G75" s="106"/>
      <c r="H75" s="114">
        <f t="shared" si="8"/>
        <v>2133.6100000000006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4768.6899999999996</v>
      </c>
      <c r="H76" s="114">
        <f t="shared" si="8"/>
        <v>63.460000000001855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-113744.97</v>
      </c>
      <c r="E78" s="30">
        <f>SUM(E75:E77)</f>
        <v>81280.03</v>
      </c>
      <c r="F78" s="30">
        <f>SUM(F75:F77)</f>
        <v>74314.26999999999</v>
      </c>
      <c r="G78" s="30">
        <f>SUM(G75:G77)</f>
        <v>4768.6899999999996</v>
      </c>
      <c r="H78" s="33">
        <f>+E78-F78-G78</f>
        <v>2197.0700000000097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-109481.61</v>
      </c>
      <c r="E81" s="76">
        <f t="shared" si="12"/>
        <v>88943.39</v>
      </c>
      <c r="F81" s="83">
        <f>+F74+F78+F80</f>
        <v>81977.62999999999</v>
      </c>
      <c r="G81" s="90">
        <f>+G74+G78</f>
        <v>4768.6899999999996</v>
      </c>
      <c r="H81" s="97">
        <f>+E81-F81-G81</f>
        <v>2197.0700000000097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>
        <v>2000</v>
      </c>
      <c r="G82" s="101">
        <v>2000</v>
      </c>
      <c r="H82" s="114">
        <f t="shared" si="8"/>
        <v>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2000</v>
      </c>
      <c r="G84" s="30">
        <f>SUM(G82)</f>
        <v>2000</v>
      </c>
      <c r="H84" s="33">
        <f t="shared" si="8"/>
        <v>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5144.68</v>
      </c>
      <c r="G85" s="101">
        <v>355.32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5144.68</v>
      </c>
      <c r="G86" s="51">
        <f>SUM(G85)</f>
        <v>355.32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7144.68</v>
      </c>
      <c r="G87" s="89">
        <f t="shared" si="14"/>
        <v>2355.3200000000002</v>
      </c>
      <c r="H87" s="98">
        <f t="shared" si="14"/>
        <v>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v>12018.38</v>
      </c>
      <c r="E92" s="112">
        <f t="shared" ref="E92:E97" si="15">+C92+D92</f>
        <v>17018.379999999997</v>
      </c>
      <c r="F92" s="112">
        <v>10224.879999999999</v>
      </c>
      <c r="G92" s="117">
        <v>0</v>
      </c>
      <c r="H92" s="113">
        <f t="shared" si="8"/>
        <v>6793.4999999999982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v>14088.99</v>
      </c>
      <c r="E93" s="106">
        <f t="shared" si="15"/>
        <v>29088.989999999998</v>
      </c>
      <c r="F93" s="106">
        <v>7728.83</v>
      </c>
      <c r="G93" s="108">
        <v>0</v>
      </c>
      <c r="H93" s="114">
        <f t="shared" si="8"/>
        <v>21360.159999999996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f>-500+55</f>
        <v>-445</v>
      </c>
      <c r="E94" s="106">
        <f t="shared" si="15"/>
        <v>55</v>
      </c>
      <c r="F94" s="106">
        <v>55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v>54442.19</v>
      </c>
      <c r="E95" s="106">
        <f t="shared" si="15"/>
        <v>69497.19</v>
      </c>
      <c r="F95" s="106">
        <v>60634.71</v>
      </c>
      <c r="G95" s="108">
        <v>0</v>
      </c>
      <c r="H95" s="114">
        <f t="shared" si="8"/>
        <v>8862.4800000000032</v>
      </c>
      <c r="I95" s="118"/>
    </row>
    <row r="96" spans="1:9" s="119" customFormat="1" x14ac:dyDescent="0.2">
      <c r="A96" s="8">
        <v>61105</v>
      </c>
      <c r="B96" s="24" t="s">
        <v>93</v>
      </c>
      <c r="C96" s="108">
        <v>0</v>
      </c>
      <c r="D96" s="108">
        <v>55200</v>
      </c>
      <c r="E96" s="106">
        <f t="shared" si="15"/>
        <v>55200</v>
      </c>
      <c r="F96" s="106">
        <v>0</v>
      </c>
      <c r="G96" s="108"/>
      <c r="H96" s="114"/>
      <c r="I96" s="118"/>
    </row>
    <row r="97" spans="1:11" s="10" customFormat="1" x14ac:dyDescent="0.2">
      <c r="A97" s="7">
        <v>61108</v>
      </c>
      <c r="B97" s="4" t="s">
        <v>27</v>
      </c>
      <c r="C97" s="101">
        <v>1000</v>
      </c>
      <c r="D97" s="101">
        <v>3190</v>
      </c>
      <c r="E97" s="106">
        <f t="shared" si="15"/>
        <v>4190</v>
      </c>
      <c r="F97" s="106">
        <v>3750.88</v>
      </c>
      <c r="G97" s="101">
        <v>0</v>
      </c>
      <c r="H97" s="114">
        <f t="shared" si="8"/>
        <v>439.11999999999989</v>
      </c>
      <c r="I97" s="11"/>
    </row>
    <row r="98" spans="1:11" s="10" customFormat="1" x14ac:dyDescent="0.2">
      <c r="A98" s="8"/>
      <c r="B98" s="29" t="s">
        <v>56</v>
      </c>
      <c r="C98" s="30">
        <f>SUM(C92:C97)</f>
        <v>36555</v>
      </c>
      <c r="D98" s="30">
        <f>SUM(D92:D97)</f>
        <v>138494.56</v>
      </c>
      <c r="E98" s="30">
        <f>SUM(E92:E97)</f>
        <v>175049.56</v>
      </c>
      <c r="F98" s="30">
        <f>SUM(F92:F97)</f>
        <v>82394.3</v>
      </c>
      <c r="G98" s="30">
        <f>SUM(G97)</f>
        <v>0</v>
      </c>
      <c r="H98" s="33">
        <f t="shared" si="8"/>
        <v>92655.26</v>
      </c>
      <c r="I98" s="11"/>
    </row>
    <row r="99" spans="1:11" s="10" customFormat="1" x14ac:dyDescent="0.2">
      <c r="A99" s="7">
        <v>61403</v>
      </c>
      <c r="B99" s="4" t="s">
        <v>82</v>
      </c>
      <c r="C99" s="101">
        <v>0</v>
      </c>
      <c r="D99" s="101">
        <f>6896.43+1191.82</f>
        <v>8088.25</v>
      </c>
      <c r="E99" s="106">
        <f>+C99+D99</f>
        <v>8088.25</v>
      </c>
      <c r="F99" s="101">
        <v>8088.25</v>
      </c>
      <c r="G99" s="101">
        <v>0</v>
      </c>
      <c r="H99" s="114">
        <f t="shared" si="8"/>
        <v>0</v>
      </c>
      <c r="I99" s="11"/>
    </row>
    <row r="100" spans="1:11" s="10" customFormat="1" ht="13.5" thickBot="1" x14ac:dyDescent="0.25">
      <c r="A100" s="71"/>
      <c r="B100" s="72" t="s">
        <v>56</v>
      </c>
      <c r="C100" s="73">
        <f>+C99</f>
        <v>0</v>
      </c>
      <c r="D100" s="73">
        <f>+D99</f>
        <v>8088.25</v>
      </c>
      <c r="E100" s="73">
        <f>+E99</f>
        <v>8088.25</v>
      </c>
      <c r="F100" s="73">
        <f>+F99</f>
        <v>8088.25</v>
      </c>
      <c r="G100" s="73">
        <f>SUM(G99)</f>
        <v>0</v>
      </c>
      <c r="H100" s="180">
        <f t="shared" si="8"/>
        <v>0</v>
      </c>
      <c r="I100" s="11"/>
    </row>
    <row r="101" spans="1:11" s="10" customFormat="1" ht="13.5" thickBot="1" x14ac:dyDescent="0.25">
      <c r="A101" s="62"/>
      <c r="B101" s="48" t="s">
        <v>11</v>
      </c>
      <c r="C101" s="49">
        <f>+C98+C100</f>
        <v>36555</v>
      </c>
      <c r="D101" s="49">
        <f>+D100+D98</f>
        <v>146582.81</v>
      </c>
      <c r="E101" s="80">
        <f>+E100+E98</f>
        <v>183137.81</v>
      </c>
      <c r="F101" s="85">
        <f>+F100+F98</f>
        <v>90482.55</v>
      </c>
      <c r="G101" s="87">
        <v>0</v>
      </c>
      <c r="H101" s="99">
        <f>+H100+H98</f>
        <v>92655.26</v>
      </c>
      <c r="I101" s="11"/>
    </row>
    <row r="102" spans="1:11" x14ac:dyDescent="0.2">
      <c r="A102" s="67"/>
      <c r="B102" s="68" t="s">
        <v>2</v>
      </c>
      <c r="C102" s="69">
        <f>+C101+C87+C81+C72+C24</f>
        <v>10187404</v>
      </c>
      <c r="D102" s="70">
        <f>+D101+D87+D81+D72+D24</f>
        <v>0</v>
      </c>
      <c r="E102" s="81">
        <f>+E24+E72+E81+E101+E87</f>
        <v>10187404.000000002</v>
      </c>
      <c r="F102" s="86">
        <f>+F24+F72+F81+F101+F87</f>
        <v>8344906.1599999983</v>
      </c>
      <c r="G102" s="88">
        <f>+G24+G72+G81+G101+G87</f>
        <v>295208.28000000003</v>
      </c>
      <c r="H102" s="100">
        <f>+E102-F102-G102</f>
        <v>1547289.5600000035</v>
      </c>
      <c r="I102" s="2"/>
      <c r="J102" s="3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  <c r="K103" s="2"/>
    </row>
    <row r="104" spans="1:11" x14ac:dyDescent="0.2">
      <c r="C104" s="9"/>
      <c r="D104" s="9"/>
      <c r="E104" s="9"/>
      <c r="F104" s="9"/>
      <c r="G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H109" s="2"/>
      <c r="I109" s="2"/>
    </row>
    <row r="110" spans="1:11" x14ac:dyDescent="0.2">
      <c r="C110" s="9"/>
      <c r="D110" s="9"/>
      <c r="E110" s="9"/>
      <c r="F110" s="9"/>
      <c r="G110" s="9"/>
      <c r="J110" s="2"/>
    </row>
    <row r="111" spans="1:11" x14ac:dyDescent="0.2">
      <c r="C111" s="9"/>
      <c r="D111" s="9"/>
      <c r="E111" s="9"/>
      <c r="F111" s="9"/>
      <c r="G111" s="9"/>
    </row>
    <row r="112" spans="1:11" x14ac:dyDescent="0.2">
      <c r="C112" s="13"/>
      <c r="D112" s="13"/>
      <c r="E112" s="13"/>
      <c r="F112" s="13"/>
      <c r="G112" s="13"/>
      <c r="H112" s="13"/>
    </row>
    <row r="113" spans="3:8" x14ac:dyDescent="0.2">
      <c r="C113" s="15"/>
      <c r="D113" s="15"/>
      <c r="E113" s="15"/>
      <c r="F113" s="15"/>
      <c r="G113" s="15"/>
      <c r="H113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headerFooter>
    <oddFooter>&amp;C&amp;F
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37" workbookViewId="0">
      <selection activeCell="C21" sqref="C21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03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03"/>
      <c r="H3" s="17"/>
      <c r="I3" s="16"/>
    </row>
    <row r="4" spans="1:9" ht="14.25" x14ac:dyDescent="0.2">
      <c r="A4" s="17"/>
      <c r="B4" s="103"/>
      <c r="C4" s="103"/>
      <c r="D4" s="103"/>
      <c r="E4" s="103"/>
      <c r="F4" s="103"/>
      <c r="G4" s="103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02"/>
      <c r="B6" s="190" t="s">
        <v>80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-94436.1</v>
      </c>
      <c r="E9" s="106">
        <f>+C9+D9</f>
        <v>4887163.9000000004</v>
      </c>
      <c r="F9" s="106">
        <v>795470.24</v>
      </c>
      <c r="G9" s="106">
        <v>26210.48</v>
      </c>
      <c r="H9" s="107">
        <f t="shared" ref="H9:H73" si="0">+E9-F9-G9</f>
        <v>4065483.18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/>
      <c r="G11" s="106">
        <v>0</v>
      </c>
      <c r="H11" s="107">
        <f t="shared" si="0"/>
        <v>508950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98735.37</v>
      </c>
      <c r="E12" s="106">
        <f t="shared" si="1"/>
        <v>1167435.3700000001</v>
      </c>
      <c r="F12" s="106">
        <v>172676.66</v>
      </c>
      <c r="G12" s="106">
        <v>14415.46</v>
      </c>
      <c r="H12" s="107">
        <f t="shared" si="0"/>
        <v>980343.25000000012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/>
      <c r="G14" s="106">
        <v>0</v>
      </c>
      <c r="H14" s="107">
        <f t="shared" si="0"/>
        <v>104000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-6241.18</v>
      </c>
      <c r="E15" s="106">
        <f t="shared" si="1"/>
        <v>323508.82</v>
      </c>
      <c r="F15" s="106">
        <v>48010.83</v>
      </c>
      <c r="G15" s="106">
        <v>6379.45</v>
      </c>
      <c r="H15" s="107">
        <f t="shared" si="0"/>
        <v>269118.53999999998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7721.89</v>
      </c>
      <c r="E16" s="106">
        <f t="shared" si="1"/>
        <v>65706.89</v>
      </c>
      <c r="F16" s="106">
        <v>9435.9500000000007</v>
      </c>
      <c r="G16" s="106">
        <v>928.04</v>
      </c>
      <c r="H16" s="107">
        <f t="shared" si="0"/>
        <v>55342.9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-7318.85</v>
      </c>
      <c r="E17" s="106">
        <f t="shared" si="1"/>
        <v>364381.15</v>
      </c>
      <c r="F17" s="106">
        <v>53567.040000000001</v>
      </c>
      <c r="G17" s="106">
        <v>7716.03</v>
      </c>
      <c r="H17" s="107">
        <f t="shared" si="0"/>
        <v>303098.08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7790.97</v>
      </c>
      <c r="E18" s="106">
        <f t="shared" si="1"/>
        <v>90620.97</v>
      </c>
      <c r="F18" s="106">
        <v>12704.39</v>
      </c>
      <c r="G18" s="106">
        <v>1807.88</v>
      </c>
      <c r="H18" s="107">
        <f t="shared" si="0"/>
        <v>76108.7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7771.52</v>
      </c>
      <c r="G19" s="106">
        <v>0</v>
      </c>
      <c r="H19" s="107">
        <f t="shared" si="0"/>
        <v>38853.479999999996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1427</v>
      </c>
      <c r="G22" s="106">
        <v>0</v>
      </c>
      <c r="H22" s="107">
        <f t="shared" si="0"/>
        <v>70023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-2.0008883439004421E-11</v>
      </c>
      <c r="E24" s="76">
        <f t="shared" si="2"/>
        <v>7891670.0000000009</v>
      </c>
      <c r="F24" s="83">
        <f t="shared" si="2"/>
        <v>1140673.6999999997</v>
      </c>
      <c r="G24" s="92">
        <f t="shared" si="2"/>
        <v>57462.27</v>
      </c>
      <c r="H24" s="95">
        <f t="shared" si="2"/>
        <v>6693534.0300000012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-3418.01</v>
      </c>
      <c r="E25" s="106">
        <f t="shared" ref="E25:E42" si="3">+C25+D25</f>
        <v>64611.99</v>
      </c>
      <c r="F25" s="106">
        <v>31714.84</v>
      </c>
      <c r="G25" s="106">
        <v>0</v>
      </c>
      <c r="H25" s="107">
        <f t="shared" si="0"/>
        <v>32897.149999999994</v>
      </c>
    </row>
    <row r="26" spans="1:11" x14ac:dyDescent="0.2">
      <c r="A26" s="7">
        <v>54103</v>
      </c>
      <c r="B26" s="4" t="s">
        <v>13</v>
      </c>
      <c r="C26" s="101">
        <v>1000</v>
      </c>
      <c r="D26" s="101"/>
      <c r="E26" s="106">
        <f t="shared" si="3"/>
        <v>1000</v>
      </c>
      <c r="F26" s="106"/>
      <c r="G26" s="106">
        <v>0</v>
      </c>
      <c r="H26" s="107">
        <f t="shared" si="0"/>
        <v>1000</v>
      </c>
    </row>
    <row r="27" spans="1:11" x14ac:dyDescent="0.2">
      <c r="A27" s="7">
        <v>54104</v>
      </c>
      <c r="B27" s="4" t="s">
        <v>14</v>
      </c>
      <c r="C27" s="101">
        <v>49845</v>
      </c>
      <c r="D27" s="101"/>
      <c r="E27" s="106">
        <f t="shared" si="3"/>
        <v>49845</v>
      </c>
      <c r="F27" s="106">
        <v>1670</v>
      </c>
      <c r="G27" s="106">
        <v>0</v>
      </c>
      <c r="H27" s="107">
        <f t="shared" si="0"/>
        <v>48175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999.3</v>
      </c>
      <c r="E28" s="106">
        <f t="shared" si="3"/>
        <v>24674.3</v>
      </c>
      <c r="F28" s="106">
        <v>14243.8</v>
      </c>
      <c r="G28" s="106">
        <v>0</v>
      </c>
      <c r="H28" s="107">
        <f t="shared" si="0"/>
        <v>10430.5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/>
      <c r="E29" s="106">
        <f t="shared" si="3"/>
        <v>400</v>
      </c>
      <c r="F29" s="106">
        <v>360</v>
      </c>
      <c r="G29" s="106">
        <v>0</v>
      </c>
      <c r="H29" s="107">
        <f t="shared" si="0"/>
        <v>40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17.34</v>
      </c>
      <c r="E30" s="106">
        <f t="shared" si="3"/>
        <v>12117.34</v>
      </c>
      <c r="F30" s="106">
        <v>360.59</v>
      </c>
      <c r="G30" s="106">
        <v>0</v>
      </c>
      <c r="H30" s="107">
        <f t="shared" si="0"/>
        <v>11756.75</v>
      </c>
    </row>
    <row r="31" spans="1:11" x14ac:dyDescent="0.2">
      <c r="A31" s="7">
        <v>54108</v>
      </c>
      <c r="B31" s="4" t="s">
        <v>18</v>
      </c>
      <c r="C31" s="101">
        <v>15000</v>
      </c>
      <c r="D31" s="101"/>
      <c r="E31" s="106">
        <f t="shared" si="3"/>
        <v>15000</v>
      </c>
      <c r="F31" s="106"/>
      <c r="G31" s="106">
        <v>0</v>
      </c>
      <c r="H31" s="107">
        <f t="shared" si="0"/>
        <v>15000</v>
      </c>
    </row>
    <row r="32" spans="1:11" x14ac:dyDescent="0.2">
      <c r="A32" s="7">
        <v>54109</v>
      </c>
      <c r="B32" s="4" t="s">
        <v>19</v>
      </c>
      <c r="C32" s="101">
        <v>4000</v>
      </c>
      <c r="D32" s="101"/>
      <c r="E32" s="106">
        <f t="shared" si="3"/>
        <v>4000</v>
      </c>
      <c r="F32" s="106">
        <v>500</v>
      </c>
      <c r="G32" s="106">
        <v>0</v>
      </c>
      <c r="H32" s="107">
        <f t="shared" si="0"/>
        <v>3500</v>
      </c>
    </row>
    <row r="33" spans="1:12" x14ac:dyDescent="0.2">
      <c r="A33" s="7">
        <v>54110</v>
      </c>
      <c r="B33" s="4" t="s">
        <v>20</v>
      </c>
      <c r="C33" s="101">
        <v>45700</v>
      </c>
      <c r="D33" s="101"/>
      <c r="E33" s="106">
        <f t="shared" si="3"/>
        <v>45700</v>
      </c>
      <c r="F33" s="106"/>
      <c r="G33" s="106">
        <v>0</v>
      </c>
      <c r="H33" s="107">
        <f t="shared" si="0"/>
        <v>45700</v>
      </c>
    </row>
    <row r="34" spans="1:12" x14ac:dyDescent="0.2">
      <c r="A34" s="7">
        <v>54111</v>
      </c>
      <c r="B34" s="4" t="s">
        <v>21</v>
      </c>
      <c r="C34" s="101">
        <v>1400</v>
      </c>
      <c r="D34" s="101"/>
      <c r="E34" s="106">
        <f t="shared" si="3"/>
        <v>1400</v>
      </c>
      <c r="F34" s="106"/>
      <c r="G34" s="106">
        <v>0</v>
      </c>
      <c r="H34" s="107">
        <f t="shared" si="0"/>
        <v>1400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560.9</v>
      </c>
      <c r="E35" s="106">
        <f t="shared" si="3"/>
        <v>1960.9</v>
      </c>
      <c r="F35" s="106">
        <v>560.9</v>
      </c>
      <c r="G35" s="106">
        <v>0</v>
      </c>
      <c r="H35" s="107">
        <f t="shared" si="0"/>
        <v>1400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/>
      <c r="E36" s="106">
        <f t="shared" si="3"/>
        <v>900</v>
      </c>
      <c r="F36" s="106"/>
      <c r="G36" s="106">
        <v>0</v>
      </c>
      <c r="H36" s="107">
        <f t="shared" si="0"/>
        <v>900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1027.76</v>
      </c>
      <c r="E37" s="106">
        <f t="shared" si="3"/>
        <v>6607.76</v>
      </c>
      <c r="F37" s="106">
        <v>6229.45</v>
      </c>
      <c r="G37" s="106">
        <v>0</v>
      </c>
      <c r="H37" s="107">
        <f t="shared" si="0"/>
        <v>378.3100000000004</v>
      </c>
    </row>
    <row r="38" spans="1:12" x14ac:dyDescent="0.2">
      <c r="A38" s="7">
        <v>54115</v>
      </c>
      <c r="B38" s="4" t="s">
        <v>25</v>
      </c>
      <c r="C38" s="101">
        <v>12200</v>
      </c>
      <c r="D38" s="101"/>
      <c r="E38" s="106">
        <f t="shared" si="3"/>
        <v>12200</v>
      </c>
      <c r="F38" s="106"/>
      <c r="G38" s="106">
        <v>0</v>
      </c>
      <c r="H38" s="107">
        <f t="shared" si="0"/>
        <v>12200</v>
      </c>
    </row>
    <row r="39" spans="1:12" x14ac:dyDescent="0.2">
      <c r="A39" s="7">
        <v>54116</v>
      </c>
      <c r="B39" s="4" t="s">
        <v>26</v>
      </c>
      <c r="C39" s="101">
        <v>800</v>
      </c>
      <c r="D39" s="101"/>
      <c r="E39" s="106">
        <f t="shared" si="3"/>
        <v>800</v>
      </c>
      <c r="F39" s="106">
        <v>369.3</v>
      </c>
      <c r="G39" s="106">
        <v>0</v>
      </c>
      <c r="H39" s="107">
        <f t="shared" si="0"/>
        <v>430.7</v>
      </c>
    </row>
    <row r="40" spans="1:12" x14ac:dyDescent="0.2">
      <c r="A40" s="7">
        <v>54118</v>
      </c>
      <c r="B40" s="4" t="s">
        <v>27</v>
      </c>
      <c r="C40" s="101">
        <v>1600</v>
      </c>
      <c r="D40" s="101"/>
      <c r="E40" s="106">
        <f t="shared" si="3"/>
        <v>1600</v>
      </c>
      <c r="F40" s="106">
        <v>600</v>
      </c>
      <c r="G40" s="106">
        <v>0</v>
      </c>
      <c r="H40" s="107">
        <f t="shared" si="0"/>
        <v>1000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1178.93</v>
      </c>
      <c r="E41" s="106">
        <f t="shared" si="3"/>
        <v>3278.9300000000003</v>
      </c>
      <c r="F41" s="106">
        <v>1178.93</v>
      </c>
      <c r="G41" s="106">
        <v>0</v>
      </c>
      <c r="H41" s="107">
        <f t="shared" si="0"/>
        <v>2100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688.3</v>
      </c>
      <c r="E42" s="106">
        <f t="shared" si="3"/>
        <v>458507.3</v>
      </c>
      <c r="F42" s="106">
        <v>412200.36</v>
      </c>
      <c r="G42" s="106">
        <v>0</v>
      </c>
      <c r="H42" s="111">
        <f t="shared" si="0"/>
        <v>46306.94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1054.5200000000002</v>
      </c>
      <c r="E43" s="46">
        <f>SUM(E25:E42)</f>
        <v>704603.52</v>
      </c>
      <c r="F43" s="46">
        <f>SUM(F25:F42)</f>
        <v>469988.17</v>
      </c>
      <c r="G43" s="46">
        <f>SUM(G25:G42)</f>
        <v>0</v>
      </c>
      <c r="H43" s="47">
        <f t="shared" si="0"/>
        <v>234615.35000000003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112">
        <v>178835</v>
      </c>
      <c r="D48" s="112"/>
      <c r="E48" s="106">
        <f t="shared" ref="E48:E51" si="4">+C48+D48</f>
        <v>178835</v>
      </c>
      <c r="F48" s="106">
        <v>25207.67</v>
      </c>
      <c r="G48" s="106">
        <v>0</v>
      </c>
      <c r="H48" s="113">
        <f t="shared" si="0"/>
        <v>153627.33000000002</v>
      </c>
    </row>
    <row r="49" spans="1:8" x14ac:dyDescent="0.2">
      <c r="A49" s="7">
        <v>54202</v>
      </c>
      <c r="B49" s="4" t="s">
        <v>31</v>
      </c>
      <c r="C49" s="101">
        <v>42600</v>
      </c>
      <c r="D49" s="101"/>
      <c r="E49" s="106">
        <f t="shared" si="4"/>
        <v>42600</v>
      </c>
      <c r="F49" s="106">
        <v>3401.31</v>
      </c>
      <c r="G49" s="106">
        <v>0</v>
      </c>
      <c r="H49" s="107">
        <f t="shared" si="0"/>
        <v>39198.69</v>
      </c>
    </row>
    <row r="50" spans="1:8" x14ac:dyDescent="0.2">
      <c r="A50" s="40">
        <v>54203</v>
      </c>
      <c r="B50" s="41" t="s">
        <v>32</v>
      </c>
      <c r="C50" s="110">
        <v>148490</v>
      </c>
      <c r="D50" s="110">
        <v>-2177.79</v>
      </c>
      <c r="E50" s="106">
        <f t="shared" si="4"/>
        <v>146312.21</v>
      </c>
      <c r="F50" s="106">
        <v>32895.5</v>
      </c>
      <c r="G50" s="106">
        <v>0</v>
      </c>
      <c r="H50" s="111">
        <f t="shared" si="0"/>
        <v>113416.70999999999</v>
      </c>
    </row>
    <row r="51" spans="1:8" x14ac:dyDescent="0.2">
      <c r="A51" s="7">
        <v>54204</v>
      </c>
      <c r="B51" s="4" t="s">
        <v>33</v>
      </c>
      <c r="C51" s="101">
        <v>1200</v>
      </c>
      <c r="D51" s="101"/>
      <c r="E51" s="106">
        <f t="shared" si="4"/>
        <v>1200</v>
      </c>
      <c r="F51" s="106">
        <v>63.31</v>
      </c>
      <c r="G51" s="106">
        <v>0</v>
      </c>
      <c r="H51" s="114">
        <f t="shared" si="0"/>
        <v>1136.69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-2177.79</v>
      </c>
      <c r="E52" s="30">
        <f>SUM(E48:E51)</f>
        <v>368947.20999999996</v>
      </c>
      <c r="F52" s="30">
        <f>SUM(F48:F51)</f>
        <v>61567.789999999994</v>
      </c>
      <c r="G52" s="30">
        <f>SUM(G48:G51)</f>
        <v>0</v>
      </c>
      <c r="H52" s="33">
        <f t="shared" si="0"/>
        <v>307379.42</v>
      </c>
    </row>
    <row r="53" spans="1:8" x14ac:dyDescent="0.2">
      <c r="A53" s="7">
        <v>54301</v>
      </c>
      <c r="B53" s="4" t="s">
        <v>34</v>
      </c>
      <c r="C53" s="101">
        <v>30560</v>
      </c>
      <c r="D53" s="101">
        <v>-4283.3999999999996</v>
      </c>
      <c r="E53" s="106">
        <f t="shared" ref="E53:E64" si="5">+C53+D53</f>
        <v>26276.6</v>
      </c>
      <c r="F53" s="106">
        <v>1070.51</v>
      </c>
      <c r="G53" s="106">
        <v>0</v>
      </c>
      <c r="H53" s="114">
        <f t="shared" si="0"/>
        <v>25206.09</v>
      </c>
    </row>
    <row r="54" spans="1:8" x14ac:dyDescent="0.2">
      <c r="A54" s="6">
        <v>54302</v>
      </c>
      <c r="B54" s="5" t="s">
        <v>35</v>
      </c>
      <c r="C54" s="106">
        <v>63000</v>
      </c>
      <c r="D54" s="106"/>
      <c r="E54" s="106">
        <f t="shared" si="5"/>
        <v>63000</v>
      </c>
      <c r="F54" s="106">
        <v>4941.32</v>
      </c>
      <c r="G54" s="106">
        <v>0</v>
      </c>
      <c r="H54" s="107">
        <f t="shared" si="0"/>
        <v>58058.68</v>
      </c>
    </row>
    <row r="55" spans="1:8" x14ac:dyDescent="0.2">
      <c r="A55" s="7">
        <v>54304</v>
      </c>
      <c r="B55" s="4" t="s">
        <v>36</v>
      </c>
      <c r="C55" s="101">
        <v>4000</v>
      </c>
      <c r="D55" s="101"/>
      <c r="E55" s="106">
        <f t="shared" si="5"/>
        <v>4000</v>
      </c>
      <c r="F55" s="106"/>
      <c r="G55" s="106">
        <v>0</v>
      </c>
      <c r="H55" s="114">
        <f t="shared" si="0"/>
        <v>4000</v>
      </c>
    </row>
    <row r="56" spans="1:8" x14ac:dyDescent="0.2">
      <c r="A56" s="7">
        <v>54305</v>
      </c>
      <c r="B56" s="4" t="s">
        <v>37</v>
      </c>
      <c r="C56" s="101">
        <v>84200</v>
      </c>
      <c r="D56" s="101">
        <v>-9207.5</v>
      </c>
      <c r="E56" s="106">
        <f t="shared" si="5"/>
        <v>74992.5</v>
      </c>
      <c r="F56" s="106">
        <v>215.6</v>
      </c>
      <c r="G56" s="106">
        <v>0</v>
      </c>
      <c r="H56" s="114">
        <f t="shared" si="0"/>
        <v>74776.899999999994</v>
      </c>
    </row>
    <row r="57" spans="1:8" x14ac:dyDescent="0.2">
      <c r="A57" s="7">
        <v>54306</v>
      </c>
      <c r="B57" s="4" t="s">
        <v>78</v>
      </c>
      <c r="C57" s="101">
        <v>0</v>
      </c>
      <c r="D57" s="101">
        <v>4283.3999999999996</v>
      </c>
      <c r="E57" s="106">
        <f t="shared" si="5"/>
        <v>4283.3999999999996</v>
      </c>
      <c r="F57" s="106">
        <v>4283.3999999999996</v>
      </c>
      <c r="G57" s="106">
        <v>0</v>
      </c>
      <c r="H57" s="114">
        <f t="shared" si="0"/>
        <v>0</v>
      </c>
    </row>
    <row r="58" spans="1:8" x14ac:dyDescent="0.2">
      <c r="A58" s="7">
        <v>54307</v>
      </c>
      <c r="B58" s="4" t="s">
        <v>38</v>
      </c>
      <c r="C58" s="101">
        <v>6400</v>
      </c>
      <c r="D58" s="101"/>
      <c r="E58" s="106">
        <f t="shared" si="5"/>
        <v>6400</v>
      </c>
      <c r="F58" s="106">
        <v>6159.36</v>
      </c>
      <c r="G58" s="106">
        <v>0</v>
      </c>
      <c r="H58" s="114">
        <f t="shared" si="0"/>
        <v>240.64000000000033</v>
      </c>
    </row>
    <row r="59" spans="1:8" x14ac:dyDescent="0.2">
      <c r="A59" s="7">
        <v>54308</v>
      </c>
      <c r="B59" s="4" t="s">
        <v>79</v>
      </c>
      <c r="C59" s="101">
        <v>2500</v>
      </c>
      <c r="D59" s="101"/>
      <c r="E59" s="106">
        <f t="shared" si="5"/>
        <v>2500</v>
      </c>
      <c r="F59" s="106"/>
      <c r="G59" s="106"/>
      <c r="H59" s="114">
        <f t="shared" si="0"/>
        <v>2500</v>
      </c>
    </row>
    <row r="60" spans="1:8" x14ac:dyDescent="0.2">
      <c r="A60" s="7">
        <v>54313</v>
      </c>
      <c r="B60" s="4" t="s">
        <v>39</v>
      </c>
      <c r="C60" s="101">
        <v>24400</v>
      </c>
      <c r="D60" s="101"/>
      <c r="E60" s="106">
        <f t="shared" si="5"/>
        <v>24400</v>
      </c>
      <c r="F60" s="106">
        <v>0</v>
      </c>
      <c r="G60" s="106">
        <v>0</v>
      </c>
      <c r="H60" s="114">
        <f t="shared" si="0"/>
        <v>24400</v>
      </c>
    </row>
    <row r="61" spans="1:8" x14ac:dyDescent="0.2">
      <c r="A61" s="7">
        <v>54314</v>
      </c>
      <c r="B61" s="4" t="s">
        <v>52</v>
      </c>
      <c r="C61" s="101">
        <v>28100</v>
      </c>
      <c r="D61" s="101">
        <v>7784.5</v>
      </c>
      <c r="E61" s="106">
        <f t="shared" si="5"/>
        <v>35884.5</v>
      </c>
      <c r="F61" s="106">
        <v>4164</v>
      </c>
      <c r="G61" s="106">
        <v>40</v>
      </c>
      <c r="H61" s="114">
        <f t="shared" si="0"/>
        <v>31680.5</v>
      </c>
    </row>
    <row r="62" spans="1:8" x14ac:dyDescent="0.2">
      <c r="A62" s="7">
        <v>54316</v>
      </c>
      <c r="B62" s="4" t="s">
        <v>40</v>
      </c>
      <c r="C62" s="101">
        <v>24000</v>
      </c>
      <c r="D62" s="101"/>
      <c r="E62" s="106">
        <f t="shared" si="5"/>
        <v>24000</v>
      </c>
      <c r="F62" s="106">
        <v>23852.52</v>
      </c>
      <c r="G62" s="106">
        <v>0</v>
      </c>
      <c r="H62" s="114">
        <f t="shared" si="0"/>
        <v>147.47999999999956</v>
      </c>
    </row>
    <row r="63" spans="1:8" x14ac:dyDescent="0.2">
      <c r="A63" s="7">
        <v>54317</v>
      </c>
      <c r="B63" s="4" t="s">
        <v>41</v>
      </c>
      <c r="C63" s="101">
        <v>584880</v>
      </c>
      <c r="D63" s="101"/>
      <c r="E63" s="106">
        <f t="shared" si="5"/>
        <v>584880</v>
      </c>
      <c r="F63" s="106">
        <v>584872.92000000004</v>
      </c>
      <c r="G63" s="106">
        <v>0</v>
      </c>
      <c r="H63" s="114">
        <f t="shared" si="0"/>
        <v>7.0799999999580905</v>
      </c>
    </row>
    <row r="64" spans="1:8" x14ac:dyDescent="0.2">
      <c r="A64" s="7">
        <v>54399</v>
      </c>
      <c r="B64" s="4" t="s">
        <v>42</v>
      </c>
      <c r="C64" s="101">
        <v>47080</v>
      </c>
      <c r="D64" s="101">
        <v>-2471.6999999999998</v>
      </c>
      <c r="E64" s="106">
        <f t="shared" si="5"/>
        <v>44608.3</v>
      </c>
      <c r="F64" s="106">
        <v>8626.8799999999992</v>
      </c>
      <c r="G64" s="106">
        <v>0</v>
      </c>
      <c r="H64" s="114">
        <f t="shared" si="0"/>
        <v>35981.420000000006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-3894.7</v>
      </c>
      <c r="E65" s="30">
        <f>SUM(E53:E64)</f>
        <v>895225.3</v>
      </c>
      <c r="F65" s="30">
        <f>SUM(F53:F64)</f>
        <v>638186.51</v>
      </c>
      <c r="G65" s="30">
        <f>SUM(G53:G64)</f>
        <v>40</v>
      </c>
      <c r="H65" s="33">
        <f t="shared" si="0"/>
        <v>256998.79000000004</v>
      </c>
    </row>
    <row r="66" spans="1:9" x14ac:dyDescent="0.2">
      <c r="A66" s="7">
        <v>54402</v>
      </c>
      <c r="B66" s="4" t="s">
        <v>43</v>
      </c>
      <c r="C66" s="101">
        <v>8000</v>
      </c>
      <c r="D66" s="101"/>
      <c r="E66" s="106">
        <f t="shared" ref="E66:E68" si="6">+C66+D66</f>
        <v>8000</v>
      </c>
      <c r="F66" s="106">
        <v>1620.58</v>
      </c>
      <c r="G66" s="101">
        <v>0</v>
      </c>
      <c r="H66" s="114">
        <f t="shared" si="0"/>
        <v>6379.42</v>
      </c>
    </row>
    <row r="67" spans="1:9" x14ac:dyDescent="0.2">
      <c r="A67" s="7">
        <v>54403</v>
      </c>
      <c r="B67" s="4" t="s">
        <v>44</v>
      </c>
      <c r="C67" s="101">
        <v>11460</v>
      </c>
      <c r="D67" s="101"/>
      <c r="E67" s="106">
        <f t="shared" si="6"/>
        <v>11460</v>
      </c>
      <c r="F67" s="106">
        <v>938</v>
      </c>
      <c r="G67" s="106">
        <v>0</v>
      </c>
      <c r="H67" s="114">
        <f t="shared" si="0"/>
        <v>10522</v>
      </c>
    </row>
    <row r="68" spans="1:9" x14ac:dyDescent="0.2">
      <c r="A68" s="7">
        <v>54404</v>
      </c>
      <c r="B68" s="4" t="s">
        <v>45</v>
      </c>
      <c r="C68" s="101">
        <v>20000</v>
      </c>
      <c r="D68" s="101">
        <v>2870</v>
      </c>
      <c r="E68" s="106">
        <f t="shared" si="6"/>
        <v>22870</v>
      </c>
      <c r="F68" s="106">
        <v>5485</v>
      </c>
      <c r="G68" s="106">
        <v>0</v>
      </c>
      <c r="H68" s="114">
        <f t="shared" si="0"/>
        <v>17385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2870</v>
      </c>
      <c r="E69" s="30">
        <f>SUM(E66:E68)</f>
        <v>42330</v>
      </c>
      <c r="F69" s="30">
        <f>SUM(F66:F68)</f>
        <v>8043.58</v>
      </c>
      <c r="G69" s="30">
        <f>SUM(G66:G68)</f>
        <v>0</v>
      </c>
      <c r="H69" s="33">
        <f t="shared" si="0"/>
        <v>34286.42</v>
      </c>
    </row>
    <row r="70" spans="1:9" x14ac:dyDescent="0.2">
      <c r="A70" s="7">
        <v>54505</v>
      </c>
      <c r="B70" s="4" t="s">
        <v>46</v>
      </c>
      <c r="C70" s="101">
        <v>2000</v>
      </c>
      <c r="D70" s="101">
        <v>2147.9699999999998</v>
      </c>
      <c r="E70" s="106">
        <f t="shared" ref="E70:E71" si="7">+C70+D70</f>
        <v>4147.9699999999993</v>
      </c>
      <c r="F70" s="106">
        <v>2373</v>
      </c>
      <c r="G70" s="106">
        <v>0</v>
      </c>
      <c r="H70" s="114">
        <f t="shared" si="0"/>
        <v>1774.9699999999993</v>
      </c>
    </row>
    <row r="71" spans="1:9" x14ac:dyDescent="0.2">
      <c r="A71" s="7">
        <v>54599</v>
      </c>
      <c r="B71" s="4" t="s">
        <v>66</v>
      </c>
      <c r="C71" s="101">
        <v>36000</v>
      </c>
      <c r="D71" s="101"/>
      <c r="E71" s="106">
        <f t="shared" si="7"/>
        <v>36000</v>
      </c>
      <c r="F71" s="106">
        <v>0</v>
      </c>
      <c r="G71" s="106">
        <v>0</v>
      </c>
      <c r="H71" s="114">
        <f t="shared" si="0"/>
        <v>36000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2147.9699999999998</v>
      </c>
      <c r="E72" s="30">
        <f>SUM(E70:E71)</f>
        <v>40147.97</v>
      </c>
      <c r="F72" s="30">
        <f>SUM(F70:F71)</f>
        <v>2373</v>
      </c>
      <c r="G72" s="30">
        <f>SUM(G70:G71)</f>
        <v>0</v>
      </c>
      <c r="H72" s="114">
        <f t="shared" si="0"/>
        <v>37774.97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1180159.05</v>
      </c>
      <c r="G73" s="90">
        <f>+G72+G69+G65+G52+G43</f>
        <v>40</v>
      </c>
      <c r="H73" s="97">
        <f t="shared" si="0"/>
        <v>871054.95</v>
      </c>
    </row>
    <row r="74" spans="1:9" x14ac:dyDescent="0.2">
      <c r="A74" s="7">
        <v>55599</v>
      </c>
      <c r="B74" s="4" t="s">
        <v>47</v>
      </c>
      <c r="C74" s="101">
        <v>3400</v>
      </c>
      <c r="D74" s="101"/>
      <c r="E74" s="106">
        <f>+C74+D74</f>
        <v>3400</v>
      </c>
      <c r="F74" s="106"/>
      <c r="G74" s="106">
        <v>0</v>
      </c>
      <c r="H74" s="114">
        <f t="shared" ref="H74:H98" si="8">+E74-F74-G74</f>
        <v>3400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0</v>
      </c>
      <c r="E75" s="30">
        <f>SUM(E74)</f>
        <v>3400</v>
      </c>
      <c r="F75" s="30">
        <f>SUM(F74)</f>
        <v>0</v>
      </c>
      <c r="G75" s="30">
        <f>SUM(G74)</f>
        <v>0</v>
      </c>
      <c r="H75" s="114">
        <f t="shared" si="8"/>
        <v>3400</v>
      </c>
    </row>
    <row r="76" spans="1:9" x14ac:dyDescent="0.2">
      <c r="A76" s="7">
        <v>55601</v>
      </c>
      <c r="B76" s="4" t="s">
        <v>48</v>
      </c>
      <c r="C76" s="101">
        <f>47000+100000</f>
        <v>147000</v>
      </c>
      <c r="D76" s="101"/>
      <c r="E76" s="106">
        <f t="shared" ref="E76:E78" si="9">+C76+D76</f>
        <v>147000</v>
      </c>
      <c r="F76" s="106">
        <v>35284.28</v>
      </c>
      <c r="G76" s="106">
        <v>0</v>
      </c>
      <c r="H76" s="114">
        <f t="shared" si="8"/>
        <v>111715.72</v>
      </c>
    </row>
    <row r="77" spans="1:9" x14ac:dyDescent="0.2">
      <c r="A77" s="7">
        <v>55602</v>
      </c>
      <c r="B77" s="4" t="s">
        <v>49</v>
      </c>
      <c r="C77" s="101">
        <v>48000</v>
      </c>
      <c r="D77" s="101">
        <v>0</v>
      </c>
      <c r="E77" s="106">
        <f t="shared" si="9"/>
        <v>48000</v>
      </c>
      <c r="F77" s="106">
        <v>36825.449999999997</v>
      </c>
      <c r="G77" s="106">
        <v>0</v>
      </c>
      <c r="H77" s="114">
        <f t="shared" si="8"/>
        <v>11174.550000000003</v>
      </c>
    </row>
    <row r="78" spans="1:9" x14ac:dyDescent="0.2">
      <c r="A78" s="7">
        <v>55603</v>
      </c>
      <c r="B78" s="4" t="s">
        <v>72</v>
      </c>
      <c r="C78" s="101">
        <v>25</v>
      </c>
      <c r="D78" s="101">
        <v>0</v>
      </c>
      <c r="E78" s="106">
        <f t="shared" si="9"/>
        <v>25</v>
      </c>
      <c r="F78" s="106"/>
      <c r="G78" s="101">
        <v>0</v>
      </c>
      <c r="H78" s="114">
        <f t="shared" si="8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0</v>
      </c>
      <c r="E79" s="30">
        <f>SUM(E76:E78)</f>
        <v>195025</v>
      </c>
      <c r="F79" s="30">
        <f>SUM(F76:F78)</f>
        <v>72109.73</v>
      </c>
      <c r="G79" s="30">
        <f>SUM(G76:G78)</f>
        <v>0</v>
      </c>
      <c r="H79" s="114">
        <f t="shared" si="8"/>
        <v>122915.27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72109.73</v>
      </c>
      <c r="G80" s="90">
        <f>+G75+G79</f>
        <v>0</v>
      </c>
      <c r="H80" s="97">
        <f t="shared" si="8"/>
        <v>126315.27</v>
      </c>
      <c r="I80" s="2"/>
    </row>
    <row r="81" spans="1:9" s="10" customFormat="1" x14ac:dyDescent="0.2">
      <c r="A81" s="7">
        <v>56303</v>
      </c>
      <c r="B81" s="4" t="s">
        <v>68</v>
      </c>
      <c r="C81" s="101">
        <v>4000</v>
      </c>
      <c r="D81" s="101"/>
      <c r="E81" s="106">
        <f t="shared" ref="E81:E82" si="10">+C81+D81</f>
        <v>4000</v>
      </c>
      <c r="F81" s="106"/>
      <c r="G81" s="101">
        <v>0</v>
      </c>
      <c r="H81" s="114">
        <f t="shared" si="8"/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101">
        <v>0</v>
      </c>
      <c r="D82" s="101">
        <v>0</v>
      </c>
      <c r="E82" s="106">
        <f t="shared" si="10"/>
        <v>0</v>
      </c>
      <c r="F82" s="106">
        <v>0</v>
      </c>
      <c r="G82" s="101">
        <v>0</v>
      </c>
      <c r="H82" s="114">
        <f t="shared" si="8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8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101">
        <v>5500</v>
      </c>
      <c r="D84" s="101"/>
      <c r="E84" s="106">
        <f>+C84+D84</f>
        <v>5500</v>
      </c>
      <c r="F84" s="106">
        <v>0</v>
      </c>
      <c r="G84" s="101">
        <v>0</v>
      </c>
      <c r="H84" s="114">
        <f t="shared" si="8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115">
        <f t="shared" si="8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1">+D83+D85</f>
        <v>0</v>
      </c>
      <c r="E86" s="77">
        <f t="shared" si="11"/>
        <v>9500</v>
      </c>
      <c r="F86" s="116">
        <f t="shared" si="11"/>
        <v>0</v>
      </c>
      <c r="G86" s="89">
        <f t="shared" si="11"/>
        <v>0</v>
      </c>
      <c r="H86" s="98">
        <f t="shared" si="11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19" customFormat="1" x14ac:dyDescent="0.2">
      <c r="A91" s="57">
        <v>61101</v>
      </c>
      <c r="B91" s="58" t="s">
        <v>57</v>
      </c>
      <c r="C91" s="117">
        <v>5000</v>
      </c>
      <c r="D91" s="117"/>
      <c r="E91" s="112">
        <f t="shared" ref="E91:E95" si="12">+C91+D91</f>
        <v>5000</v>
      </c>
      <c r="F91" s="112">
        <v>0</v>
      </c>
      <c r="G91" s="117">
        <v>0</v>
      </c>
      <c r="H91" s="113">
        <f t="shared" si="8"/>
        <v>5000</v>
      </c>
      <c r="I91" s="118"/>
    </row>
    <row r="92" spans="1:9" s="119" customFormat="1" x14ac:dyDescent="0.2">
      <c r="A92" s="8">
        <v>61102</v>
      </c>
      <c r="B92" s="24" t="s">
        <v>64</v>
      </c>
      <c r="C92" s="108">
        <v>15000</v>
      </c>
      <c r="D92" s="108">
        <v>-3492.82</v>
      </c>
      <c r="E92" s="106">
        <f t="shared" si="12"/>
        <v>11507.18</v>
      </c>
      <c r="F92" s="106">
        <v>170</v>
      </c>
      <c r="G92" s="108">
        <v>0</v>
      </c>
      <c r="H92" s="114">
        <f t="shared" si="8"/>
        <v>11337.18</v>
      </c>
      <c r="I92" s="118"/>
    </row>
    <row r="93" spans="1:9" s="119" customFormat="1" x14ac:dyDescent="0.2">
      <c r="A93" s="8">
        <v>61103</v>
      </c>
      <c r="B93" s="24" t="s">
        <v>65</v>
      </c>
      <c r="C93" s="108">
        <v>500</v>
      </c>
      <c r="D93" s="108"/>
      <c r="E93" s="106">
        <f t="shared" si="12"/>
        <v>500</v>
      </c>
      <c r="F93" s="106">
        <v>0</v>
      </c>
      <c r="G93" s="108">
        <v>0</v>
      </c>
      <c r="H93" s="114">
        <f t="shared" si="8"/>
        <v>500</v>
      </c>
      <c r="I93" s="118"/>
    </row>
    <row r="94" spans="1:9" s="119" customFormat="1" x14ac:dyDescent="0.2">
      <c r="A94" s="8">
        <v>61104</v>
      </c>
      <c r="B94" s="24" t="s">
        <v>60</v>
      </c>
      <c r="C94" s="108">
        <v>15055</v>
      </c>
      <c r="D94" s="108">
        <v>1000.04</v>
      </c>
      <c r="E94" s="106">
        <f t="shared" si="12"/>
        <v>16055.04</v>
      </c>
      <c r="F94" s="106">
        <v>0</v>
      </c>
      <c r="G94" s="108">
        <v>0</v>
      </c>
      <c r="H94" s="114">
        <f t="shared" si="8"/>
        <v>16055.04</v>
      </c>
      <c r="I94" s="118"/>
    </row>
    <row r="95" spans="1:9" s="10" customFormat="1" x14ac:dyDescent="0.2">
      <c r="A95" s="7">
        <v>61108</v>
      </c>
      <c r="B95" s="4" t="s">
        <v>27</v>
      </c>
      <c r="C95" s="101">
        <v>1000</v>
      </c>
      <c r="D95" s="101"/>
      <c r="E95" s="106">
        <f t="shared" si="12"/>
        <v>1000</v>
      </c>
      <c r="F95" s="106">
        <v>0</v>
      </c>
      <c r="G95" s="101">
        <v>0</v>
      </c>
      <c r="H95" s="114">
        <f t="shared" si="8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-2492.7800000000002</v>
      </c>
      <c r="E96" s="30">
        <f>SUM(E91:E95)</f>
        <v>34062.22</v>
      </c>
      <c r="F96" s="30">
        <f>SUM(F91:F95)</f>
        <v>170</v>
      </c>
      <c r="G96" s="30">
        <f>SUM(G95)</f>
        <v>0</v>
      </c>
      <c r="H96" s="33">
        <f t="shared" si="8"/>
        <v>33892.22</v>
      </c>
      <c r="I96" s="11"/>
    </row>
    <row r="97" spans="1:10" s="10" customFormat="1" x14ac:dyDescent="0.2">
      <c r="A97" s="7">
        <v>61403</v>
      </c>
      <c r="B97" s="4" t="s">
        <v>82</v>
      </c>
      <c r="C97" s="101">
        <v>0</v>
      </c>
      <c r="D97" s="101">
        <v>2492.7800000000002</v>
      </c>
      <c r="E97" s="106">
        <f>+C97+D97</f>
        <v>2492.7800000000002</v>
      </c>
      <c r="F97" s="101">
        <v>0</v>
      </c>
      <c r="G97" s="101">
        <v>0</v>
      </c>
      <c r="H97" s="114">
        <f t="shared" si="8"/>
        <v>2492.7800000000002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2492.7800000000002</v>
      </c>
      <c r="E98" s="120">
        <f>+E97</f>
        <v>2492.7800000000002</v>
      </c>
      <c r="F98" s="120">
        <f>+F97</f>
        <v>0</v>
      </c>
      <c r="G98" s="120">
        <f>SUM(G97)</f>
        <v>0</v>
      </c>
      <c r="H98" s="121">
        <f t="shared" si="8"/>
        <v>2492.7800000000002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170</v>
      </c>
      <c r="G99" s="87">
        <v>0</v>
      </c>
      <c r="H99" s="99">
        <f>+H98+H96</f>
        <v>36385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-2.0008883439004421E-11</v>
      </c>
      <c r="E100" s="81">
        <f>+E24+E73+E80+E99+E86</f>
        <v>10187404</v>
      </c>
      <c r="F100" s="86">
        <f>+F24+F73+F80+F99+F86</f>
        <v>2393112.48</v>
      </c>
      <c r="G100" s="88">
        <f>+G24+G73+G80+G99+G86</f>
        <v>57502.27</v>
      </c>
      <c r="H100" s="100">
        <f>+E100-F100-G100</f>
        <v>7736789.25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FEB - 2019&amp;R&amp;P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15" workbookViewId="0">
      <selection activeCell="E25" sqref="E25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05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05"/>
      <c r="H3" s="17"/>
      <c r="I3" s="16"/>
    </row>
    <row r="4" spans="1:9" ht="14.25" x14ac:dyDescent="0.2">
      <c r="A4" s="17"/>
      <c r="B4" s="105"/>
      <c r="C4" s="105"/>
      <c r="D4" s="105"/>
      <c r="E4" s="105"/>
      <c r="F4" s="105"/>
      <c r="G4" s="105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04"/>
      <c r="B6" s="190" t="s">
        <v>83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-94436.1</v>
      </c>
      <c r="E9" s="106">
        <f>+C9+D9</f>
        <v>4887163.9000000004</v>
      </c>
      <c r="F9" s="106">
        <v>1190733.29</v>
      </c>
      <c r="G9" s="106">
        <v>37495.25</v>
      </c>
      <c r="H9" s="107">
        <f t="shared" ref="H9:H73" si="0">+E9-F9-G9</f>
        <v>3658935.3600000003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/>
      <c r="G11" s="106">
        <v>0</v>
      </c>
      <c r="H11" s="107">
        <f t="shared" si="0"/>
        <v>508950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98735.37</v>
      </c>
      <c r="E12" s="106">
        <f t="shared" si="1"/>
        <v>1167435.3700000001</v>
      </c>
      <c r="F12" s="106">
        <v>267218.15000000002</v>
      </c>
      <c r="G12" s="106">
        <v>17907.990000000002</v>
      </c>
      <c r="H12" s="107">
        <f t="shared" si="0"/>
        <v>882309.2300000001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/>
      <c r="G14" s="106">
        <v>0</v>
      </c>
      <c r="H14" s="107">
        <f t="shared" si="0"/>
        <v>104000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-6241.18</v>
      </c>
      <c r="E15" s="106">
        <f t="shared" si="1"/>
        <v>323508.82</v>
      </c>
      <c r="F15" s="106">
        <v>71778.34</v>
      </c>
      <c r="G15" s="106">
        <v>9523.39</v>
      </c>
      <c r="H15" s="107">
        <f t="shared" si="0"/>
        <v>242207.09000000003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7721.89</v>
      </c>
      <c r="E16" s="106">
        <f t="shared" si="1"/>
        <v>65706.89</v>
      </c>
      <c r="F16" s="106">
        <v>14715.05</v>
      </c>
      <c r="G16" s="106">
        <v>1181.93</v>
      </c>
      <c r="H16" s="107">
        <f t="shared" si="0"/>
        <v>49809.909999999996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-7318.85</v>
      </c>
      <c r="E17" s="106">
        <f t="shared" si="1"/>
        <v>364381.15</v>
      </c>
      <c r="F17" s="106">
        <v>80108.63</v>
      </c>
      <c r="G17" s="106">
        <v>11483.3</v>
      </c>
      <c r="H17" s="107">
        <f t="shared" si="0"/>
        <v>272789.22000000003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7790.97</v>
      </c>
      <c r="E18" s="106">
        <f t="shared" si="1"/>
        <v>90620.97</v>
      </c>
      <c r="F18" s="106">
        <v>19715.68</v>
      </c>
      <c r="G18" s="106">
        <v>2406.86</v>
      </c>
      <c r="H18" s="107">
        <f t="shared" si="0"/>
        <v>68498.430000000008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11657.28</v>
      </c>
      <c r="G19" s="106">
        <v>0</v>
      </c>
      <c r="H19" s="107">
        <f t="shared" si="0"/>
        <v>34967.72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28718.66</v>
      </c>
      <c r="G22" s="106">
        <v>3806.34</v>
      </c>
      <c r="H22" s="107">
        <f t="shared" si="0"/>
        <v>38925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-2.0008883439004421E-11</v>
      </c>
      <c r="E24" s="76">
        <f t="shared" si="2"/>
        <v>7891670.0000000009</v>
      </c>
      <c r="F24" s="83">
        <f t="shared" si="2"/>
        <v>1724255.1499999997</v>
      </c>
      <c r="G24" s="92">
        <f t="shared" si="2"/>
        <v>83809.989999999991</v>
      </c>
      <c r="H24" s="95">
        <f t="shared" si="2"/>
        <v>6083604.8599999994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-3660.04</v>
      </c>
      <c r="E25" s="106">
        <f t="shared" ref="E25:E42" si="3">+C25+D25</f>
        <v>64369.96</v>
      </c>
      <c r="F25" s="106">
        <v>36061.339999999997</v>
      </c>
      <c r="G25" s="106">
        <v>207.5</v>
      </c>
      <c r="H25" s="107">
        <f t="shared" si="0"/>
        <v>28101.120000000003</v>
      </c>
    </row>
    <row r="26" spans="1:11" x14ac:dyDescent="0.2">
      <c r="A26" s="7">
        <v>54103</v>
      </c>
      <c r="B26" s="4" t="s">
        <v>13</v>
      </c>
      <c r="C26" s="101">
        <v>1000</v>
      </c>
      <c r="D26" s="101"/>
      <c r="E26" s="106">
        <f t="shared" si="3"/>
        <v>1000</v>
      </c>
      <c r="F26" s="106"/>
      <c r="G26" s="106">
        <v>0</v>
      </c>
      <c r="H26" s="107">
        <f t="shared" si="0"/>
        <v>1000</v>
      </c>
    </row>
    <row r="27" spans="1:11" x14ac:dyDescent="0.2">
      <c r="A27" s="7">
        <v>54104</v>
      </c>
      <c r="B27" s="4" t="s">
        <v>14</v>
      </c>
      <c r="C27" s="101">
        <v>49845</v>
      </c>
      <c r="D27" s="101"/>
      <c r="E27" s="106">
        <f t="shared" si="3"/>
        <v>49845</v>
      </c>
      <c r="F27" s="106">
        <v>2277.6</v>
      </c>
      <c r="G27" s="106">
        <v>201.14</v>
      </c>
      <c r="H27" s="107">
        <f t="shared" si="0"/>
        <v>47366.26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3799.3</v>
      </c>
      <c r="E28" s="106">
        <f t="shared" si="3"/>
        <v>27474.3</v>
      </c>
      <c r="F28" s="106">
        <v>23031.3</v>
      </c>
      <c r="G28" s="106">
        <v>0</v>
      </c>
      <c r="H28" s="107">
        <f t="shared" si="0"/>
        <v>4443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117</v>
      </c>
      <c r="E29" s="106">
        <f t="shared" si="3"/>
        <v>517</v>
      </c>
      <c r="F29" s="106">
        <v>517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-360.19</v>
      </c>
      <c r="E30" s="106">
        <f t="shared" si="3"/>
        <v>11739.81</v>
      </c>
      <c r="F30" s="106">
        <v>9510.75</v>
      </c>
      <c r="G30" s="106">
        <v>0</v>
      </c>
      <c r="H30" s="107">
        <f t="shared" si="0"/>
        <v>2229.0599999999995</v>
      </c>
    </row>
    <row r="31" spans="1:11" x14ac:dyDescent="0.2">
      <c r="A31" s="7">
        <v>54108</v>
      </c>
      <c r="B31" s="4" t="s">
        <v>18</v>
      </c>
      <c r="C31" s="101">
        <v>15000</v>
      </c>
      <c r="D31" s="101"/>
      <c r="E31" s="106">
        <f t="shared" si="3"/>
        <v>15000</v>
      </c>
      <c r="F31" s="106"/>
      <c r="G31" s="106">
        <v>0</v>
      </c>
      <c r="H31" s="107">
        <f t="shared" si="0"/>
        <v>15000</v>
      </c>
    </row>
    <row r="32" spans="1:11" x14ac:dyDescent="0.2">
      <c r="A32" s="7">
        <v>54109</v>
      </c>
      <c r="B32" s="4" t="s">
        <v>19</v>
      </c>
      <c r="C32" s="101">
        <v>4000</v>
      </c>
      <c r="D32" s="101"/>
      <c r="E32" s="106">
        <f t="shared" si="3"/>
        <v>4000</v>
      </c>
      <c r="F32" s="106">
        <v>500</v>
      </c>
      <c r="G32" s="106">
        <v>0</v>
      </c>
      <c r="H32" s="107">
        <f t="shared" si="0"/>
        <v>3500</v>
      </c>
    </row>
    <row r="33" spans="1:12" x14ac:dyDescent="0.2">
      <c r="A33" s="7">
        <v>54110</v>
      </c>
      <c r="B33" s="4" t="s">
        <v>20</v>
      </c>
      <c r="C33" s="101">
        <v>45700</v>
      </c>
      <c r="D33" s="101"/>
      <c r="E33" s="106">
        <f t="shared" si="3"/>
        <v>45700</v>
      </c>
      <c r="F33" s="106"/>
      <c r="G33" s="106">
        <v>0</v>
      </c>
      <c r="H33" s="107">
        <f t="shared" si="0"/>
        <v>45700</v>
      </c>
    </row>
    <row r="34" spans="1:12" x14ac:dyDescent="0.2">
      <c r="A34" s="7">
        <v>54111</v>
      </c>
      <c r="B34" s="4" t="s">
        <v>21</v>
      </c>
      <c r="C34" s="101">
        <v>1400</v>
      </c>
      <c r="D34" s="101"/>
      <c r="E34" s="106">
        <f t="shared" si="3"/>
        <v>1400</v>
      </c>
      <c r="F34" s="106">
        <v>297</v>
      </c>
      <c r="G34" s="106">
        <v>0</v>
      </c>
      <c r="H34" s="107">
        <f t="shared" si="0"/>
        <v>1103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560.9</v>
      </c>
      <c r="E35" s="106">
        <f t="shared" si="3"/>
        <v>1960.9</v>
      </c>
      <c r="F35" s="106">
        <v>560.9</v>
      </c>
      <c r="G35" s="106">
        <v>0</v>
      </c>
      <c r="H35" s="107">
        <f t="shared" si="0"/>
        <v>1400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/>
      <c r="E36" s="106">
        <f t="shared" si="3"/>
        <v>900</v>
      </c>
      <c r="F36" s="106">
        <v>68</v>
      </c>
      <c r="G36" s="106">
        <v>0</v>
      </c>
      <c r="H36" s="107">
        <f t="shared" si="0"/>
        <v>832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1027.76</v>
      </c>
      <c r="E37" s="106">
        <f t="shared" si="3"/>
        <v>6607.76</v>
      </c>
      <c r="F37" s="106">
        <v>6229.45</v>
      </c>
      <c r="G37" s="106">
        <v>0</v>
      </c>
      <c r="H37" s="107">
        <f t="shared" si="0"/>
        <v>378.3100000000004</v>
      </c>
    </row>
    <row r="38" spans="1:12" x14ac:dyDescent="0.2">
      <c r="A38" s="7">
        <v>54115</v>
      </c>
      <c r="B38" s="4" t="s">
        <v>25</v>
      </c>
      <c r="C38" s="101">
        <v>12200</v>
      </c>
      <c r="D38" s="101"/>
      <c r="E38" s="106">
        <f t="shared" si="3"/>
        <v>12200</v>
      </c>
      <c r="F38" s="106">
        <v>420</v>
      </c>
      <c r="G38" s="106">
        <v>0</v>
      </c>
      <c r="H38" s="107">
        <f t="shared" si="0"/>
        <v>11780</v>
      </c>
    </row>
    <row r="39" spans="1:12" x14ac:dyDescent="0.2">
      <c r="A39" s="7">
        <v>54116</v>
      </c>
      <c r="B39" s="4" t="s">
        <v>26</v>
      </c>
      <c r="C39" s="101">
        <v>800</v>
      </c>
      <c r="D39" s="101"/>
      <c r="E39" s="106">
        <f t="shared" si="3"/>
        <v>800</v>
      </c>
      <c r="F39" s="106">
        <v>369.3</v>
      </c>
      <c r="G39" s="106">
        <v>0</v>
      </c>
      <c r="H39" s="107">
        <f t="shared" si="0"/>
        <v>430.7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14.1</v>
      </c>
      <c r="E40" s="106">
        <f t="shared" si="3"/>
        <v>1614.1</v>
      </c>
      <c r="F40" s="106">
        <v>600</v>
      </c>
      <c r="G40" s="106">
        <v>0</v>
      </c>
      <c r="H40" s="107">
        <f t="shared" si="0"/>
        <v>1014.0999999999999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1348.93</v>
      </c>
      <c r="E41" s="106">
        <f t="shared" si="3"/>
        <v>3448.9300000000003</v>
      </c>
      <c r="F41" s="106">
        <v>1448.93</v>
      </c>
      <c r="G41" s="106">
        <v>0</v>
      </c>
      <c r="H41" s="107">
        <f t="shared" si="0"/>
        <v>2000.0000000000002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944.83</v>
      </c>
      <c r="E42" s="106">
        <f t="shared" si="3"/>
        <v>458763.83</v>
      </c>
      <c r="F42" s="106">
        <v>415880.36</v>
      </c>
      <c r="G42" s="106">
        <v>0</v>
      </c>
      <c r="H42" s="111">
        <f t="shared" si="0"/>
        <v>42883.47000000003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3792.59</v>
      </c>
      <c r="E43" s="46">
        <f>SUM(E25:E42)</f>
        <v>707341.59</v>
      </c>
      <c r="F43" s="46">
        <f>SUM(F25:F42)</f>
        <v>497771.92999999993</v>
      </c>
      <c r="G43" s="46">
        <f>SUM(G25:G42)</f>
        <v>408.64</v>
      </c>
      <c r="H43" s="47">
        <f t="shared" si="0"/>
        <v>209161.02000000002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112">
        <v>178835</v>
      </c>
      <c r="D48" s="112">
        <v>-1695.33</v>
      </c>
      <c r="E48" s="106">
        <f t="shared" ref="E48:E51" si="4">+C48+D48</f>
        <v>177139.67</v>
      </c>
      <c r="F48" s="106">
        <v>41309.599999999999</v>
      </c>
      <c r="G48" s="106">
        <v>0</v>
      </c>
      <c r="H48" s="113">
        <f t="shared" si="0"/>
        <v>135830.07</v>
      </c>
    </row>
    <row r="49" spans="1:8" x14ac:dyDescent="0.2">
      <c r="A49" s="7">
        <v>54202</v>
      </c>
      <c r="B49" s="4" t="s">
        <v>31</v>
      </c>
      <c r="C49" s="101">
        <v>42600</v>
      </c>
      <c r="D49" s="101">
        <v>-1264.6400000000001</v>
      </c>
      <c r="E49" s="106">
        <f t="shared" si="4"/>
        <v>41335.360000000001</v>
      </c>
      <c r="F49" s="106">
        <v>3741.51</v>
      </c>
      <c r="G49" s="106">
        <v>0</v>
      </c>
      <c r="H49" s="107">
        <f t="shared" si="0"/>
        <v>37593.85</v>
      </c>
    </row>
    <row r="50" spans="1:8" x14ac:dyDescent="0.2">
      <c r="A50" s="40">
        <v>54203</v>
      </c>
      <c r="B50" s="41" t="s">
        <v>32</v>
      </c>
      <c r="C50" s="110">
        <v>148490</v>
      </c>
      <c r="D50" s="110">
        <v>3044.91</v>
      </c>
      <c r="E50" s="106">
        <f t="shared" si="4"/>
        <v>151534.91</v>
      </c>
      <c r="F50" s="106">
        <v>38065.120000000003</v>
      </c>
      <c r="G50" s="106">
        <v>0</v>
      </c>
      <c r="H50" s="111">
        <f t="shared" si="0"/>
        <v>113469.79000000001</v>
      </c>
    </row>
    <row r="51" spans="1:8" x14ac:dyDescent="0.2">
      <c r="A51" s="7">
        <v>54204</v>
      </c>
      <c r="B51" s="4" t="s">
        <v>33</v>
      </c>
      <c r="C51" s="101">
        <v>1200</v>
      </c>
      <c r="D51" s="101"/>
      <c r="E51" s="106">
        <f t="shared" si="4"/>
        <v>1200</v>
      </c>
      <c r="F51" s="106">
        <v>63.31</v>
      </c>
      <c r="G51" s="106">
        <v>0</v>
      </c>
      <c r="H51" s="114">
        <f t="shared" si="0"/>
        <v>1136.69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84.9399999999996</v>
      </c>
      <c r="E52" s="30">
        <f>SUM(E48:E51)</f>
        <v>371209.94000000006</v>
      </c>
      <c r="F52" s="30">
        <f>SUM(F48:F51)</f>
        <v>83179.540000000008</v>
      </c>
      <c r="G52" s="30">
        <f>SUM(G48:G51)</f>
        <v>0</v>
      </c>
      <c r="H52" s="33">
        <f t="shared" si="0"/>
        <v>288030.40000000002</v>
      </c>
    </row>
    <row r="53" spans="1:8" x14ac:dyDescent="0.2">
      <c r="A53" s="7">
        <v>54301</v>
      </c>
      <c r="B53" s="4" t="s">
        <v>34</v>
      </c>
      <c r="C53" s="101">
        <v>30560</v>
      </c>
      <c r="D53" s="101">
        <v>-4283.3999999999996</v>
      </c>
      <c r="E53" s="106">
        <f t="shared" ref="E53:E64" si="5">+C53+D53</f>
        <v>26276.6</v>
      </c>
      <c r="F53" s="106">
        <v>1070.51</v>
      </c>
      <c r="G53" s="106">
        <v>0</v>
      </c>
      <c r="H53" s="114">
        <f t="shared" si="0"/>
        <v>25206.09</v>
      </c>
    </row>
    <row r="54" spans="1:8" x14ac:dyDescent="0.2">
      <c r="A54" s="6">
        <v>54302</v>
      </c>
      <c r="B54" s="5" t="s">
        <v>35</v>
      </c>
      <c r="C54" s="106">
        <v>63000</v>
      </c>
      <c r="D54" s="106">
        <v>33.9</v>
      </c>
      <c r="E54" s="106">
        <f t="shared" si="5"/>
        <v>63033.9</v>
      </c>
      <c r="F54" s="106">
        <v>27725.75</v>
      </c>
      <c r="G54" s="106">
        <v>0</v>
      </c>
      <c r="H54" s="107">
        <f t="shared" si="0"/>
        <v>35308.15</v>
      </c>
    </row>
    <row r="55" spans="1:8" x14ac:dyDescent="0.2">
      <c r="A55" s="7">
        <v>54304</v>
      </c>
      <c r="B55" s="4" t="s">
        <v>36</v>
      </c>
      <c r="C55" s="101">
        <v>4000</v>
      </c>
      <c r="D55" s="101"/>
      <c r="E55" s="106">
        <f t="shared" si="5"/>
        <v>4000</v>
      </c>
      <c r="F55" s="106"/>
      <c r="G55" s="106">
        <v>0</v>
      </c>
      <c r="H55" s="114">
        <f t="shared" si="0"/>
        <v>4000</v>
      </c>
    </row>
    <row r="56" spans="1:8" x14ac:dyDescent="0.2">
      <c r="A56" s="7">
        <v>54305</v>
      </c>
      <c r="B56" s="4" t="s">
        <v>37</v>
      </c>
      <c r="C56" s="101">
        <v>84200</v>
      </c>
      <c r="D56" s="101">
        <v>-18932.09</v>
      </c>
      <c r="E56" s="106">
        <f t="shared" si="5"/>
        <v>65267.91</v>
      </c>
      <c r="F56" s="106">
        <v>388.08</v>
      </c>
      <c r="G56" s="106">
        <v>0</v>
      </c>
      <c r="H56" s="114">
        <f t="shared" si="0"/>
        <v>64879.83</v>
      </c>
    </row>
    <row r="57" spans="1:8" x14ac:dyDescent="0.2">
      <c r="A57" s="7">
        <v>54306</v>
      </c>
      <c r="B57" s="4" t="s">
        <v>78</v>
      </c>
      <c r="C57" s="101">
        <v>0</v>
      </c>
      <c r="D57" s="101">
        <v>4283.3999999999996</v>
      </c>
      <c r="E57" s="106">
        <f t="shared" si="5"/>
        <v>4283.3999999999996</v>
      </c>
      <c r="F57" s="106">
        <v>4283.3999999999996</v>
      </c>
      <c r="G57" s="106">
        <v>0</v>
      </c>
      <c r="H57" s="114">
        <f t="shared" si="0"/>
        <v>0</v>
      </c>
    </row>
    <row r="58" spans="1:8" x14ac:dyDescent="0.2">
      <c r="A58" s="7">
        <v>54307</v>
      </c>
      <c r="B58" s="4" t="s">
        <v>38</v>
      </c>
      <c r="C58" s="101">
        <v>6400</v>
      </c>
      <c r="D58" s="101"/>
      <c r="E58" s="106">
        <f t="shared" si="5"/>
        <v>6400</v>
      </c>
      <c r="F58" s="106">
        <v>6159.36</v>
      </c>
      <c r="G58" s="106">
        <v>0</v>
      </c>
      <c r="H58" s="114">
        <f t="shared" si="0"/>
        <v>240.64000000000033</v>
      </c>
    </row>
    <row r="59" spans="1:8" x14ac:dyDescent="0.2">
      <c r="A59" s="7">
        <v>54308</v>
      </c>
      <c r="B59" s="4" t="s">
        <v>79</v>
      </c>
      <c r="C59" s="101">
        <v>2500</v>
      </c>
      <c r="D59" s="101"/>
      <c r="E59" s="106">
        <f t="shared" si="5"/>
        <v>2500</v>
      </c>
      <c r="F59" s="106"/>
      <c r="G59" s="106"/>
      <c r="H59" s="114">
        <f t="shared" si="0"/>
        <v>2500</v>
      </c>
    </row>
    <row r="60" spans="1:8" x14ac:dyDescent="0.2">
      <c r="A60" s="7">
        <v>54313</v>
      </c>
      <c r="B60" s="4" t="s">
        <v>39</v>
      </c>
      <c r="C60" s="101">
        <v>24400</v>
      </c>
      <c r="D60" s="101"/>
      <c r="E60" s="106">
        <f t="shared" si="5"/>
        <v>24400</v>
      </c>
      <c r="F60" s="106">
        <v>0</v>
      </c>
      <c r="G60" s="106">
        <v>0</v>
      </c>
      <c r="H60" s="114">
        <f t="shared" si="0"/>
        <v>24400</v>
      </c>
    </row>
    <row r="61" spans="1:8" x14ac:dyDescent="0.2">
      <c r="A61" s="7">
        <v>54314</v>
      </c>
      <c r="B61" s="4" t="s">
        <v>52</v>
      </c>
      <c r="C61" s="101">
        <v>28100</v>
      </c>
      <c r="D61" s="101">
        <v>7784.5</v>
      </c>
      <c r="E61" s="106">
        <f t="shared" si="5"/>
        <v>35884.5</v>
      </c>
      <c r="F61" s="106">
        <v>7744.5</v>
      </c>
      <c r="G61" s="106">
        <v>40</v>
      </c>
      <c r="H61" s="114">
        <f t="shared" si="0"/>
        <v>28100</v>
      </c>
    </row>
    <row r="62" spans="1:8" x14ac:dyDescent="0.2">
      <c r="A62" s="7">
        <v>54316</v>
      </c>
      <c r="B62" s="4" t="s">
        <v>40</v>
      </c>
      <c r="C62" s="101">
        <v>24000</v>
      </c>
      <c r="D62" s="101"/>
      <c r="E62" s="106">
        <f t="shared" si="5"/>
        <v>24000</v>
      </c>
      <c r="F62" s="106">
        <v>23852.52</v>
      </c>
      <c r="G62" s="106">
        <v>0</v>
      </c>
      <c r="H62" s="114">
        <f t="shared" si="0"/>
        <v>147.47999999999956</v>
      </c>
    </row>
    <row r="63" spans="1:8" x14ac:dyDescent="0.2">
      <c r="A63" s="7">
        <v>54317</v>
      </c>
      <c r="B63" s="4" t="s">
        <v>41</v>
      </c>
      <c r="C63" s="101">
        <v>584880</v>
      </c>
      <c r="D63" s="101"/>
      <c r="E63" s="106">
        <f t="shared" si="5"/>
        <v>584880</v>
      </c>
      <c r="F63" s="106">
        <v>584872.92000000004</v>
      </c>
      <c r="G63" s="106">
        <v>0</v>
      </c>
      <c r="H63" s="114">
        <f t="shared" si="0"/>
        <v>7.0799999999580905</v>
      </c>
    </row>
    <row r="64" spans="1:8" x14ac:dyDescent="0.2">
      <c r="A64" s="7">
        <v>54399</v>
      </c>
      <c r="B64" s="4" t="s">
        <v>42</v>
      </c>
      <c r="C64" s="101">
        <v>47080</v>
      </c>
      <c r="D64" s="101">
        <v>-2471.6999999999998</v>
      </c>
      <c r="E64" s="106">
        <f t="shared" si="5"/>
        <v>44608.3</v>
      </c>
      <c r="F64" s="106">
        <v>37706.879999999997</v>
      </c>
      <c r="G64" s="106">
        <v>0</v>
      </c>
      <c r="H64" s="114">
        <f t="shared" si="0"/>
        <v>6901.4200000000055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-13585.390000000003</v>
      </c>
      <c r="E65" s="30">
        <f>SUM(E53:E64)</f>
        <v>885534.6100000001</v>
      </c>
      <c r="F65" s="30">
        <f>SUM(F53:F64)</f>
        <v>693803.92</v>
      </c>
      <c r="G65" s="30">
        <f>SUM(G53:G64)</f>
        <v>40</v>
      </c>
      <c r="H65" s="33">
        <f t="shared" si="0"/>
        <v>191690.69000000006</v>
      </c>
    </row>
    <row r="66" spans="1:9" x14ac:dyDescent="0.2">
      <c r="A66" s="7">
        <v>54402</v>
      </c>
      <c r="B66" s="4" t="s">
        <v>43</v>
      </c>
      <c r="C66" s="101">
        <v>8000</v>
      </c>
      <c r="D66" s="101">
        <v>6274.59</v>
      </c>
      <c r="E66" s="106">
        <f t="shared" ref="E66:E68" si="6">+C66+D66</f>
        <v>14274.59</v>
      </c>
      <c r="F66" s="106">
        <v>10274.59</v>
      </c>
      <c r="G66" s="101">
        <v>0</v>
      </c>
      <c r="H66" s="114">
        <f t="shared" si="0"/>
        <v>4000</v>
      </c>
    </row>
    <row r="67" spans="1:9" x14ac:dyDescent="0.2">
      <c r="A67" s="7">
        <v>54403</v>
      </c>
      <c r="B67" s="4" t="s">
        <v>44</v>
      </c>
      <c r="C67" s="101">
        <v>11460</v>
      </c>
      <c r="D67" s="101">
        <v>3</v>
      </c>
      <c r="E67" s="106">
        <f t="shared" si="6"/>
        <v>11463</v>
      </c>
      <c r="F67" s="106">
        <v>1443</v>
      </c>
      <c r="G67" s="106">
        <v>0</v>
      </c>
      <c r="H67" s="114">
        <f t="shared" si="0"/>
        <v>10020</v>
      </c>
    </row>
    <row r="68" spans="1:9" x14ac:dyDescent="0.2">
      <c r="A68" s="7">
        <v>54404</v>
      </c>
      <c r="B68" s="4" t="s">
        <v>45</v>
      </c>
      <c r="C68" s="101">
        <v>20000</v>
      </c>
      <c r="D68" s="101">
        <v>9305</v>
      </c>
      <c r="E68" s="106">
        <f t="shared" si="6"/>
        <v>29305</v>
      </c>
      <c r="F68" s="106">
        <v>12905</v>
      </c>
      <c r="G68" s="106">
        <v>0</v>
      </c>
      <c r="H68" s="114">
        <f t="shared" si="0"/>
        <v>16400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15582.59</v>
      </c>
      <c r="E69" s="30">
        <f>SUM(E66:E68)</f>
        <v>55042.59</v>
      </c>
      <c r="F69" s="30">
        <f>SUM(F66:F68)</f>
        <v>24622.59</v>
      </c>
      <c r="G69" s="30">
        <f>SUM(G66:G68)</f>
        <v>0</v>
      </c>
      <c r="H69" s="33">
        <f t="shared" si="0"/>
        <v>30419.999999999996</v>
      </c>
    </row>
    <row r="70" spans="1:9" x14ac:dyDescent="0.2">
      <c r="A70" s="7">
        <v>54505</v>
      </c>
      <c r="B70" s="4" t="s">
        <v>46</v>
      </c>
      <c r="C70" s="101">
        <v>2000</v>
      </c>
      <c r="D70" s="101">
        <v>2147.9699999999998</v>
      </c>
      <c r="E70" s="106">
        <f t="shared" ref="E70:E71" si="7">+C70+D70</f>
        <v>4147.9699999999993</v>
      </c>
      <c r="F70" s="106">
        <v>3362.97</v>
      </c>
      <c r="G70" s="106">
        <v>0</v>
      </c>
      <c r="H70" s="114">
        <f t="shared" si="0"/>
        <v>784.99999999999955</v>
      </c>
    </row>
    <row r="71" spans="1:9" x14ac:dyDescent="0.2">
      <c r="A71" s="7">
        <v>54599</v>
      </c>
      <c r="B71" s="4" t="s">
        <v>66</v>
      </c>
      <c r="C71" s="101">
        <v>36000</v>
      </c>
      <c r="D71" s="101">
        <v>-8022.7</v>
      </c>
      <c r="E71" s="106">
        <f t="shared" si="7"/>
        <v>27977.3</v>
      </c>
      <c r="F71" s="106">
        <v>0</v>
      </c>
      <c r="G71" s="106">
        <v>0</v>
      </c>
      <c r="H71" s="114">
        <f t="shared" si="0"/>
        <v>27977.3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-5874.73</v>
      </c>
      <c r="E72" s="30">
        <f>SUM(E70:E71)</f>
        <v>32125.269999999997</v>
      </c>
      <c r="F72" s="30">
        <f>SUM(F70:F71)</f>
        <v>3362.97</v>
      </c>
      <c r="G72" s="30">
        <f>SUM(G70:G71)</f>
        <v>0</v>
      </c>
      <c r="H72" s="114">
        <f t="shared" si="0"/>
        <v>28762.299999999996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1302740.9500000002</v>
      </c>
      <c r="G73" s="90">
        <f>+G72+G69+G65+G52+G43</f>
        <v>448.64</v>
      </c>
      <c r="H73" s="97">
        <f t="shared" si="0"/>
        <v>748064.4099999998</v>
      </c>
    </row>
    <row r="74" spans="1:9" x14ac:dyDescent="0.2">
      <c r="A74" s="7">
        <v>55599</v>
      </c>
      <c r="B74" s="4" t="s">
        <v>47</v>
      </c>
      <c r="C74" s="101">
        <v>3400</v>
      </c>
      <c r="D74" s="101">
        <v>4.9800000000000004</v>
      </c>
      <c r="E74" s="106">
        <f>+C74+D74</f>
        <v>3404.98</v>
      </c>
      <c r="F74" s="106">
        <v>3404.98</v>
      </c>
      <c r="G74" s="106">
        <v>0</v>
      </c>
      <c r="H74" s="114">
        <f t="shared" ref="H74:H98" si="8">+E74-F74-G74</f>
        <v>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4.9800000000000004</v>
      </c>
      <c r="E75" s="30">
        <f>SUM(E74)</f>
        <v>3404.98</v>
      </c>
      <c r="F75" s="30">
        <f>SUM(F74)</f>
        <v>3404.98</v>
      </c>
      <c r="G75" s="30">
        <f>SUM(G74)</f>
        <v>0</v>
      </c>
      <c r="H75" s="114">
        <f t="shared" si="8"/>
        <v>0</v>
      </c>
    </row>
    <row r="76" spans="1:9" x14ac:dyDescent="0.2">
      <c r="A76" s="7">
        <v>55601</v>
      </c>
      <c r="B76" s="4" t="s">
        <v>48</v>
      </c>
      <c r="C76" s="101">
        <f>47000+100000</f>
        <v>147000</v>
      </c>
      <c r="D76" s="101"/>
      <c r="E76" s="106">
        <f t="shared" ref="E76:E78" si="9">+C76+D76</f>
        <v>147000</v>
      </c>
      <c r="F76" s="106">
        <v>35284.28</v>
      </c>
      <c r="G76" s="106">
        <v>0</v>
      </c>
      <c r="H76" s="114">
        <f t="shared" si="8"/>
        <v>111715.72</v>
      </c>
    </row>
    <row r="77" spans="1:9" x14ac:dyDescent="0.2">
      <c r="A77" s="7">
        <v>55602</v>
      </c>
      <c r="B77" s="4" t="s">
        <v>49</v>
      </c>
      <c r="C77" s="101">
        <v>48000</v>
      </c>
      <c r="D77" s="101">
        <v>-4.9800000000000004</v>
      </c>
      <c r="E77" s="106">
        <f t="shared" si="9"/>
        <v>47995.02</v>
      </c>
      <c r="F77" s="106">
        <v>36825.449999999997</v>
      </c>
      <c r="G77" s="106">
        <v>0</v>
      </c>
      <c r="H77" s="114">
        <f t="shared" si="8"/>
        <v>11169.57</v>
      </c>
    </row>
    <row r="78" spans="1:9" x14ac:dyDescent="0.2">
      <c r="A78" s="7">
        <v>55603</v>
      </c>
      <c r="B78" s="4" t="s">
        <v>72</v>
      </c>
      <c r="C78" s="101">
        <v>25</v>
      </c>
      <c r="D78" s="101">
        <v>0</v>
      </c>
      <c r="E78" s="106">
        <f t="shared" si="9"/>
        <v>25</v>
      </c>
      <c r="F78" s="106"/>
      <c r="G78" s="101">
        <v>0</v>
      </c>
      <c r="H78" s="114">
        <f t="shared" si="8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-4.9800000000000004</v>
      </c>
      <c r="E79" s="30">
        <f>SUM(E76:E78)</f>
        <v>195020.02</v>
      </c>
      <c r="F79" s="30">
        <f>SUM(F76:F78)</f>
        <v>72109.73</v>
      </c>
      <c r="G79" s="30">
        <f>SUM(G76:G78)</f>
        <v>0</v>
      </c>
      <c r="H79" s="114">
        <f t="shared" si="8"/>
        <v>122910.29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75514.709999999992</v>
      </c>
      <c r="G80" s="90">
        <f>+G75+G79</f>
        <v>0</v>
      </c>
      <c r="H80" s="97">
        <f t="shared" si="8"/>
        <v>122910.29000000001</v>
      </c>
      <c r="I80" s="2"/>
    </row>
    <row r="81" spans="1:9" s="10" customFormat="1" x14ac:dyDescent="0.2">
      <c r="A81" s="7">
        <v>56303</v>
      </c>
      <c r="B81" s="4" t="s">
        <v>68</v>
      </c>
      <c r="C81" s="101">
        <v>4000</v>
      </c>
      <c r="D81" s="101"/>
      <c r="E81" s="106">
        <f t="shared" ref="E81:E82" si="10">+C81+D81</f>
        <v>4000</v>
      </c>
      <c r="F81" s="106"/>
      <c r="G81" s="101">
        <v>0</v>
      </c>
      <c r="H81" s="114">
        <f t="shared" si="8"/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101">
        <v>0</v>
      </c>
      <c r="D82" s="101">
        <v>0</v>
      </c>
      <c r="E82" s="106">
        <f t="shared" si="10"/>
        <v>0</v>
      </c>
      <c r="F82" s="106">
        <v>0</v>
      </c>
      <c r="G82" s="101">
        <v>0</v>
      </c>
      <c r="H82" s="114">
        <f t="shared" si="8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8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101">
        <v>5500</v>
      </c>
      <c r="D84" s="101"/>
      <c r="E84" s="106">
        <f>+C84+D84</f>
        <v>5500</v>
      </c>
      <c r="F84" s="106">
        <v>0</v>
      </c>
      <c r="G84" s="101">
        <v>0</v>
      </c>
      <c r="H84" s="114">
        <f t="shared" si="8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115">
        <f t="shared" si="8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1">+D83+D85</f>
        <v>0</v>
      </c>
      <c r="E86" s="77">
        <f t="shared" si="11"/>
        <v>9500</v>
      </c>
      <c r="F86" s="116">
        <f t="shared" si="11"/>
        <v>0</v>
      </c>
      <c r="G86" s="89">
        <f t="shared" si="11"/>
        <v>0</v>
      </c>
      <c r="H86" s="98">
        <f t="shared" si="11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19" customFormat="1" x14ac:dyDescent="0.2">
      <c r="A91" s="57">
        <v>61101</v>
      </c>
      <c r="B91" s="58" t="s">
        <v>57</v>
      </c>
      <c r="C91" s="117">
        <v>5000</v>
      </c>
      <c r="D91" s="117"/>
      <c r="E91" s="112">
        <f t="shared" ref="E91:E95" si="12">+C91+D91</f>
        <v>5000</v>
      </c>
      <c r="F91" s="112">
        <v>0</v>
      </c>
      <c r="G91" s="117">
        <v>0</v>
      </c>
      <c r="H91" s="113">
        <f t="shared" si="8"/>
        <v>5000</v>
      </c>
      <c r="I91" s="118"/>
    </row>
    <row r="92" spans="1:9" s="119" customFormat="1" x14ac:dyDescent="0.2">
      <c r="A92" s="8">
        <v>61102</v>
      </c>
      <c r="B92" s="24" t="s">
        <v>64</v>
      </c>
      <c r="C92" s="108">
        <v>15000</v>
      </c>
      <c r="D92" s="108">
        <v>-3492.82</v>
      </c>
      <c r="E92" s="106">
        <f t="shared" si="12"/>
        <v>11507.18</v>
      </c>
      <c r="F92" s="106">
        <v>2093</v>
      </c>
      <c r="G92" s="108">
        <v>0</v>
      </c>
      <c r="H92" s="114">
        <f t="shared" si="8"/>
        <v>9414.18</v>
      </c>
      <c r="I92" s="118"/>
    </row>
    <row r="93" spans="1:9" s="119" customFormat="1" x14ac:dyDescent="0.2">
      <c r="A93" s="8">
        <v>61103</v>
      </c>
      <c r="B93" s="24" t="s">
        <v>65</v>
      </c>
      <c r="C93" s="108">
        <v>500</v>
      </c>
      <c r="D93" s="108"/>
      <c r="E93" s="106">
        <f t="shared" si="12"/>
        <v>500</v>
      </c>
      <c r="F93" s="106">
        <v>0</v>
      </c>
      <c r="G93" s="108">
        <v>0</v>
      </c>
      <c r="H93" s="114">
        <f t="shared" si="8"/>
        <v>500</v>
      </c>
      <c r="I93" s="118"/>
    </row>
    <row r="94" spans="1:9" s="119" customFormat="1" x14ac:dyDescent="0.2">
      <c r="A94" s="8">
        <v>61104</v>
      </c>
      <c r="B94" s="24" t="s">
        <v>60</v>
      </c>
      <c r="C94" s="108">
        <v>15055</v>
      </c>
      <c r="D94" s="108">
        <v>1000.04</v>
      </c>
      <c r="E94" s="106">
        <f t="shared" si="12"/>
        <v>16055.04</v>
      </c>
      <c r="F94" s="106">
        <v>0</v>
      </c>
      <c r="G94" s="108">
        <v>0</v>
      </c>
      <c r="H94" s="114">
        <f t="shared" si="8"/>
        <v>16055.04</v>
      </c>
      <c r="I94" s="118"/>
    </row>
    <row r="95" spans="1:9" s="10" customFormat="1" x14ac:dyDescent="0.2">
      <c r="A95" s="7">
        <v>61108</v>
      </c>
      <c r="B95" s="4" t="s">
        <v>27</v>
      </c>
      <c r="C95" s="101">
        <v>1000</v>
      </c>
      <c r="D95" s="101"/>
      <c r="E95" s="106">
        <f t="shared" si="12"/>
        <v>1000</v>
      </c>
      <c r="F95" s="106">
        <v>0</v>
      </c>
      <c r="G95" s="101">
        <v>0</v>
      </c>
      <c r="H95" s="114">
        <f t="shared" si="8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-2492.7800000000002</v>
      </c>
      <c r="E96" s="30">
        <f>SUM(E91:E95)</f>
        <v>34062.22</v>
      </c>
      <c r="F96" s="30">
        <f>SUM(F91:F95)</f>
        <v>2093</v>
      </c>
      <c r="G96" s="30">
        <f>SUM(G95)</f>
        <v>0</v>
      </c>
      <c r="H96" s="33">
        <f t="shared" si="8"/>
        <v>31969.22</v>
      </c>
      <c r="I96" s="11"/>
    </row>
    <row r="97" spans="1:10" s="10" customFormat="1" x14ac:dyDescent="0.2">
      <c r="A97" s="7">
        <v>61403</v>
      </c>
      <c r="B97" s="4" t="s">
        <v>82</v>
      </c>
      <c r="C97" s="101">
        <v>0</v>
      </c>
      <c r="D97" s="101">
        <v>2492.7800000000002</v>
      </c>
      <c r="E97" s="106">
        <f>+C97+D97</f>
        <v>2492.7800000000002</v>
      </c>
      <c r="F97" s="101">
        <v>0</v>
      </c>
      <c r="G97" s="101">
        <v>0</v>
      </c>
      <c r="H97" s="114">
        <f t="shared" si="8"/>
        <v>2492.7800000000002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2492.7800000000002</v>
      </c>
      <c r="E98" s="120">
        <f>+E97</f>
        <v>2492.7800000000002</v>
      </c>
      <c r="F98" s="120">
        <f>+F97</f>
        <v>0</v>
      </c>
      <c r="G98" s="120">
        <f>SUM(G97)</f>
        <v>0</v>
      </c>
      <c r="H98" s="121">
        <f t="shared" si="8"/>
        <v>2492.7800000000002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2093</v>
      </c>
      <c r="G99" s="87">
        <v>0</v>
      </c>
      <c r="H99" s="99">
        <f>+H98+H96</f>
        <v>34462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-2.0008883439004421E-11</v>
      </c>
      <c r="E100" s="81">
        <f>+E24+E73+E80+E99+E86</f>
        <v>10187404</v>
      </c>
      <c r="F100" s="86">
        <f>+F24+F73+F80+F99+F86</f>
        <v>3104603.8099999996</v>
      </c>
      <c r="G100" s="88">
        <f>+G24+G73+G80+G99+G86</f>
        <v>84258.62999999999</v>
      </c>
      <c r="H100" s="100">
        <f>+E100-F100-G100</f>
        <v>6998541.5600000005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MZO -2019&amp;R&amp;P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31" workbookViewId="0">
      <selection activeCell="K6" sqref="K6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23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23"/>
      <c r="H3" s="17"/>
      <c r="I3" s="16"/>
    </row>
    <row r="4" spans="1:9" ht="14.25" x14ac:dyDescent="0.2">
      <c r="A4" s="17"/>
      <c r="B4" s="123"/>
      <c r="C4" s="123"/>
      <c r="D4" s="123"/>
      <c r="E4" s="123"/>
      <c r="F4" s="123"/>
      <c r="G4" s="123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22"/>
      <c r="B6" s="190" t="s">
        <v>84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-94436.1</v>
      </c>
      <c r="E9" s="106">
        <f>+C9+D9</f>
        <v>4887163.9000000004</v>
      </c>
      <c r="F9" s="106">
        <v>1583540.88</v>
      </c>
      <c r="G9" s="106">
        <f>51235.48-21086.74</f>
        <v>30148.74</v>
      </c>
      <c r="H9" s="107">
        <f t="shared" ref="H9:H73" si="0">+E9-F9-G9</f>
        <v>3273474.2800000003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/>
      <c r="G11" s="106">
        <v>0</v>
      </c>
      <c r="H11" s="107">
        <f t="shared" si="0"/>
        <v>508950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98735.37</v>
      </c>
      <c r="E12" s="106">
        <f t="shared" si="1"/>
        <v>1167435.3700000001</v>
      </c>
      <c r="F12" s="106">
        <v>360427.18</v>
      </c>
      <c r="G12" s="106">
        <f>22732.98-8931.95</f>
        <v>13801.029999999999</v>
      </c>
      <c r="H12" s="107">
        <f t="shared" si="0"/>
        <v>793207.16000000015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/>
      <c r="G14" s="106">
        <v>0</v>
      </c>
      <c r="H14" s="107">
        <f t="shared" si="0"/>
        <v>104000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-6241.18</v>
      </c>
      <c r="E15" s="106">
        <f t="shared" si="1"/>
        <v>323508.82</v>
      </c>
      <c r="F15" s="106">
        <v>95276.96</v>
      </c>
      <c r="G15" s="106">
        <f>12936.22-4357.94</f>
        <v>8578.2799999999988</v>
      </c>
      <c r="H15" s="107">
        <f t="shared" si="0"/>
        <v>219653.58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7721.89</v>
      </c>
      <c r="E16" s="106">
        <f t="shared" si="1"/>
        <v>65706.89</v>
      </c>
      <c r="F16" s="106">
        <v>19948.55</v>
      </c>
      <c r="G16" s="106">
        <f>1481.42-449.18</f>
        <v>1032.24</v>
      </c>
      <c r="H16" s="107">
        <f t="shared" si="0"/>
        <v>44726.1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-7318.85</v>
      </c>
      <c r="E17" s="106">
        <f t="shared" si="1"/>
        <v>364381.15</v>
      </c>
      <c r="F17" s="106">
        <v>106417.27</v>
      </c>
      <c r="G17" s="106">
        <f>15483.52-4129.23</f>
        <v>11354.29</v>
      </c>
      <c r="H17" s="107">
        <f t="shared" si="0"/>
        <v>246609.59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7790.97</v>
      </c>
      <c r="E18" s="106">
        <f t="shared" si="1"/>
        <v>90620.97</v>
      </c>
      <c r="F18" s="106">
        <v>26548.27</v>
      </c>
      <c r="G18" s="106">
        <f>3184.54-793.84</f>
        <v>2390.6999999999998</v>
      </c>
      <c r="H18" s="107">
        <f t="shared" si="0"/>
        <v>61682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14511.77</v>
      </c>
      <c r="G19" s="106">
        <v>1031.27</v>
      </c>
      <c r="H19" s="107">
        <f t="shared" si="0"/>
        <v>31081.96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29932.58</v>
      </c>
      <c r="G22" s="106">
        <v>4167.42</v>
      </c>
      <c r="H22" s="107">
        <f t="shared" si="0"/>
        <v>37350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-2.0008883439004421E-11</v>
      </c>
      <c r="E24" s="76">
        <f t="shared" si="2"/>
        <v>7891670.0000000009</v>
      </c>
      <c r="F24" s="83">
        <f t="shared" si="2"/>
        <v>2276213.5299999998</v>
      </c>
      <c r="G24" s="92">
        <f t="shared" si="2"/>
        <v>72508.899999999994</v>
      </c>
      <c r="H24" s="95">
        <f t="shared" si="2"/>
        <v>5542947.5699999994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-2076.1999999999998</v>
      </c>
      <c r="E25" s="106">
        <f t="shared" ref="E25:E42" si="3">+C25+D25</f>
        <v>65953.8</v>
      </c>
      <c r="F25" s="106">
        <v>47265.19</v>
      </c>
      <c r="G25" s="106">
        <v>207.5</v>
      </c>
      <c r="H25" s="107">
        <f t="shared" si="0"/>
        <v>18481.11</v>
      </c>
    </row>
    <row r="26" spans="1:11" x14ac:dyDescent="0.2">
      <c r="A26" s="7">
        <v>54103</v>
      </c>
      <c r="B26" s="4" t="s">
        <v>13</v>
      </c>
      <c r="C26" s="101">
        <v>1000</v>
      </c>
      <c r="D26" s="101"/>
      <c r="E26" s="106">
        <f t="shared" si="3"/>
        <v>1000</v>
      </c>
      <c r="F26" s="106"/>
      <c r="G26" s="106">
        <v>0</v>
      </c>
      <c r="H26" s="107">
        <f t="shared" si="0"/>
        <v>1000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1654.14</v>
      </c>
      <c r="E27" s="106">
        <f t="shared" si="3"/>
        <v>51499.14</v>
      </c>
      <c r="F27" s="106">
        <v>2985.1</v>
      </c>
      <c r="G27" s="106">
        <v>201.14</v>
      </c>
      <c r="H27" s="107">
        <f t="shared" si="0"/>
        <v>48312.9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3832.07</v>
      </c>
      <c r="E28" s="106">
        <f t="shared" si="3"/>
        <v>27507.07</v>
      </c>
      <c r="F28" s="106">
        <v>23064.07</v>
      </c>
      <c r="G28" s="106">
        <v>0</v>
      </c>
      <c r="H28" s="107">
        <f t="shared" si="0"/>
        <v>4443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117</v>
      </c>
      <c r="E29" s="106">
        <f t="shared" si="3"/>
        <v>517</v>
      </c>
      <c r="F29" s="106">
        <v>517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313.52</v>
      </c>
      <c r="E30" s="106">
        <f t="shared" si="3"/>
        <v>12413.52</v>
      </c>
      <c r="F30" s="106">
        <v>11103.62</v>
      </c>
      <c r="G30" s="106">
        <v>0</v>
      </c>
      <c r="H30" s="107">
        <f t="shared" si="0"/>
        <v>1309.8999999999996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-52.04</v>
      </c>
      <c r="E31" s="106">
        <f t="shared" si="3"/>
        <v>14947.96</v>
      </c>
      <c r="F31" s="106">
        <v>6131.24</v>
      </c>
      <c r="G31" s="106">
        <v>0</v>
      </c>
      <c r="H31" s="107">
        <f t="shared" si="0"/>
        <v>8816.7199999999993</v>
      </c>
    </row>
    <row r="32" spans="1:11" x14ac:dyDescent="0.2">
      <c r="A32" s="7">
        <v>54109</v>
      </c>
      <c r="B32" s="4" t="s">
        <v>19</v>
      </c>
      <c r="C32" s="101">
        <v>4000</v>
      </c>
      <c r="D32" s="101"/>
      <c r="E32" s="106">
        <f t="shared" si="3"/>
        <v>4000</v>
      </c>
      <c r="F32" s="106">
        <v>700</v>
      </c>
      <c r="G32" s="106">
        <v>0</v>
      </c>
      <c r="H32" s="107">
        <f t="shared" si="0"/>
        <v>3300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45680</v>
      </c>
      <c r="G33" s="106">
        <v>0</v>
      </c>
      <c r="H33" s="107">
        <f t="shared" si="0"/>
        <v>28.019999999996799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-81.650000000000006</v>
      </c>
      <c r="E34" s="106">
        <f t="shared" si="3"/>
        <v>1318.35</v>
      </c>
      <c r="F34" s="106">
        <v>297</v>
      </c>
      <c r="G34" s="106">
        <v>0</v>
      </c>
      <c r="H34" s="107">
        <f t="shared" si="0"/>
        <v>1021.3499999999999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562.4</v>
      </c>
      <c r="E35" s="106">
        <f t="shared" si="3"/>
        <v>1962.4</v>
      </c>
      <c r="F35" s="106">
        <v>560.9</v>
      </c>
      <c r="G35" s="106">
        <v>0</v>
      </c>
      <c r="H35" s="107">
        <f t="shared" si="0"/>
        <v>1401.5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/>
      <c r="E36" s="106">
        <f t="shared" si="3"/>
        <v>900</v>
      </c>
      <c r="F36" s="106">
        <v>68</v>
      </c>
      <c r="G36" s="106">
        <v>0</v>
      </c>
      <c r="H36" s="107">
        <f t="shared" si="0"/>
        <v>832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655.96</v>
      </c>
      <c r="E37" s="106">
        <f t="shared" si="3"/>
        <v>6235.96</v>
      </c>
      <c r="F37" s="106">
        <v>6229.45</v>
      </c>
      <c r="G37" s="106">
        <v>0</v>
      </c>
      <c r="H37" s="107">
        <f t="shared" si="0"/>
        <v>6.5100000000002183</v>
      </c>
    </row>
    <row r="38" spans="1:12" x14ac:dyDescent="0.2">
      <c r="A38" s="7">
        <v>54115</v>
      </c>
      <c r="B38" s="4" t="s">
        <v>25</v>
      </c>
      <c r="C38" s="101">
        <v>12200</v>
      </c>
      <c r="D38" s="101"/>
      <c r="E38" s="106">
        <f t="shared" si="3"/>
        <v>12200</v>
      </c>
      <c r="F38" s="106">
        <v>420</v>
      </c>
      <c r="G38" s="106">
        <v>0</v>
      </c>
      <c r="H38" s="107">
        <f t="shared" si="0"/>
        <v>11780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-130.69999999999999</v>
      </c>
      <c r="E39" s="106">
        <f t="shared" si="3"/>
        <v>669.3</v>
      </c>
      <c r="F39" s="106">
        <v>369.3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16.350000000000001</v>
      </c>
      <c r="E40" s="106">
        <f t="shared" si="3"/>
        <v>1616.35</v>
      </c>
      <c r="F40" s="106">
        <v>614.1</v>
      </c>
      <c r="G40" s="106">
        <v>0</v>
      </c>
      <c r="H40" s="107">
        <f t="shared" si="0"/>
        <v>1002.2499999999999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1348.93</v>
      </c>
      <c r="E41" s="106">
        <f t="shared" si="3"/>
        <v>3448.9300000000003</v>
      </c>
      <c r="F41" s="106">
        <v>1448.93</v>
      </c>
      <c r="G41" s="106">
        <v>0</v>
      </c>
      <c r="H41" s="107">
        <f t="shared" si="0"/>
        <v>2000.0000000000002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-2375.21</v>
      </c>
      <c r="E42" s="106">
        <f t="shared" si="3"/>
        <v>455443.79</v>
      </c>
      <c r="F42" s="106">
        <v>415896.61</v>
      </c>
      <c r="G42" s="106">
        <v>0</v>
      </c>
      <c r="H42" s="111">
        <f t="shared" si="0"/>
        <v>39547.179999999993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3792.5900000000011</v>
      </c>
      <c r="E43" s="46">
        <f>SUM(E25:E42)</f>
        <v>707341.59</v>
      </c>
      <c r="F43" s="46">
        <f>SUM(F25:F42)</f>
        <v>563350.51</v>
      </c>
      <c r="G43" s="46">
        <f>SUM(G25:G42)</f>
        <v>408.64</v>
      </c>
      <c r="H43" s="47">
        <f t="shared" si="0"/>
        <v>143582.43999999994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112">
        <v>178835</v>
      </c>
      <c r="D48" s="112">
        <v>-1488.9</v>
      </c>
      <c r="E48" s="106">
        <f t="shared" ref="E48:E51" si="4">+C48+D48</f>
        <v>177346.1</v>
      </c>
      <c r="F48" s="106">
        <v>56932.07</v>
      </c>
      <c r="G48" s="106">
        <v>0</v>
      </c>
      <c r="H48" s="113">
        <f t="shared" si="0"/>
        <v>120414.03</v>
      </c>
    </row>
    <row r="49" spans="1:8" x14ac:dyDescent="0.2">
      <c r="A49" s="7">
        <v>54202</v>
      </c>
      <c r="B49" s="4" t="s">
        <v>31</v>
      </c>
      <c r="C49" s="101">
        <v>42600</v>
      </c>
      <c r="D49" s="101">
        <v>-1471.07</v>
      </c>
      <c r="E49" s="106">
        <f t="shared" si="4"/>
        <v>41128.93</v>
      </c>
      <c r="F49" s="106">
        <v>6793.6</v>
      </c>
      <c r="G49" s="106">
        <v>0</v>
      </c>
      <c r="H49" s="107">
        <f t="shared" si="0"/>
        <v>34335.33</v>
      </c>
    </row>
    <row r="50" spans="1:8" x14ac:dyDescent="0.2">
      <c r="A50" s="40">
        <v>54203</v>
      </c>
      <c r="B50" s="41" t="s">
        <v>32</v>
      </c>
      <c r="C50" s="110">
        <v>148490</v>
      </c>
      <c r="D50" s="110">
        <v>2916.91</v>
      </c>
      <c r="E50" s="106">
        <f t="shared" si="4"/>
        <v>151406.91</v>
      </c>
      <c r="F50" s="106">
        <v>90570.94</v>
      </c>
      <c r="G50" s="106">
        <v>0</v>
      </c>
      <c r="H50" s="111">
        <f t="shared" si="0"/>
        <v>60835.97</v>
      </c>
    </row>
    <row r="51" spans="1:8" x14ac:dyDescent="0.2">
      <c r="A51" s="7">
        <v>54204</v>
      </c>
      <c r="B51" s="4" t="s">
        <v>33</v>
      </c>
      <c r="C51" s="101">
        <v>1200</v>
      </c>
      <c r="D51" s="101"/>
      <c r="E51" s="106">
        <f t="shared" si="4"/>
        <v>1200</v>
      </c>
      <c r="F51" s="106">
        <v>63.31</v>
      </c>
      <c r="G51" s="106">
        <v>0</v>
      </c>
      <c r="H51" s="114">
        <f t="shared" si="0"/>
        <v>1136.69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-43.0600000000004</v>
      </c>
      <c r="E52" s="30">
        <f>SUM(E48:E51)</f>
        <v>371081.94</v>
      </c>
      <c r="F52" s="30">
        <f>SUM(F48:F51)</f>
        <v>154359.91999999998</v>
      </c>
      <c r="G52" s="30">
        <f>SUM(G48:G51)</f>
        <v>0</v>
      </c>
      <c r="H52" s="33">
        <f t="shared" si="0"/>
        <v>216722.02000000002</v>
      </c>
    </row>
    <row r="53" spans="1:8" x14ac:dyDescent="0.2">
      <c r="A53" s="7">
        <v>54301</v>
      </c>
      <c r="B53" s="4" t="s">
        <v>34</v>
      </c>
      <c r="C53" s="101">
        <v>30560</v>
      </c>
      <c r="D53" s="101">
        <v>-4283.3999999999996</v>
      </c>
      <c r="E53" s="106">
        <f t="shared" ref="E53:E64" si="5">+C53+D53</f>
        <v>26276.6</v>
      </c>
      <c r="F53" s="106">
        <v>3965.42</v>
      </c>
      <c r="G53" s="106">
        <v>0</v>
      </c>
      <c r="H53" s="114">
        <f t="shared" si="0"/>
        <v>22311.18</v>
      </c>
    </row>
    <row r="54" spans="1:8" x14ac:dyDescent="0.2">
      <c r="A54" s="6">
        <v>54302</v>
      </c>
      <c r="B54" s="5" t="s">
        <v>35</v>
      </c>
      <c r="C54" s="106">
        <v>63000</v>
      </c>
      <c r="D54" s="106">
        <v>33.9</v>
      </c>
      <c r="E54" s="106">
        <f t="shared" si="5"/>
        <v>63033.9</v>
      </c>
      <c r="F54" s="106">
        <v>28534</v>
      </c>
      <c r="G54" s="106">
        <v>0</v>
      </c>
      <c r="H54" s="107">
        <f t="shared" si="0"/>
        <v>34499.9</v>
      </c>
    </row>
    <row r="55" spans="1:8" x14ac:dyDescent="0.2">
      <c r="A55" s="7">
        <v>54304</v>
      </c>
      <c r="B55" s="4" t="s">
        <v>36</v>
      </c>
      <c r="C55" s="101">
        <v>4000</v>
      </c>
      <c r="D55" s="101"/>
      <c r="E55" s="106">
        <f t="shared" si="5"/>
        <v>4000</v>
      </c>
      <c r="F55" s="106"/>
      <c r="G55" s="106">
        <v>0</v>
      </c>
      <c r="H55" s="114">
        <f t="shared" si="0"/>
        <v>4000</v>
      </c>
    </row>
    <row r="56" spans="1:8" x14ac:dyDescent="0.2">
      <c r="A56" s="7">
        <v>54305</v>
      </c>
      <c r="B56" s="4" t="s">
        <v>37</v>
      </c>
      <c r="C56" s="101">
        <v>84200</v>
      </c>
      <c r="D56" s="101">
        <v>-20904.09</v>
      </c>
      <c r="E56" s="106">
        <f t="shared" si="5"/>
        <v>63295.91</v>
      </c>
      <c r="F56" s="106">
        <v>388.08</v>
      </c>
      <c r="G56" s="106">
        <v>0</v>
      </c>
      <c r="H56" s="114">
        <f t="shared" si="0"/>
        <v>62907.83</v>
      </c>
    </row>
    <row r="57" spans="1:8" x14ac:dyDescent="0.2">
      <c r="A57" s="7">
        <v>54306</v>
      </c>
      <c r="B57" s="4" t="s">
        <v>78</v>
      </c>
      <c r="C57" s="101">
        <v>0</v>
      </c>
      <c r="D57" s="101">
        <v>4283.3999999999996</v>
      </c>
      <c r="E57" s="106">
        <f t="shared" si="5"/>
        <v>4283.3999999999996</v>
      </c>
      <c r="F57" s="106">
        <v>4283.3999999999996</v>
      </c>
      <c r="G57" s="106">
        <v>0</v>
      </c>
      <c r="H57" s="114">
        <f t="shared" si="0"/>
        <v>0</v>
      </c>
    </row>
    <row r="58" spans="1:8" x14ac:dyDescent="0.2">
      <c r="A58" s="7">
        <v>54307</v>
      </c>
      <c r="B58" s="4" t="s">
        <v>38</v>
      </c>
      <c r="C58" s="101">
        <v>6400</v>
      </c>
      <c r="D58" s="101"/>
      <c r="E58" s="106">
        <f t="shared" si="5"/>
        <v>6400</v>
      </c>
      <c r="F58" s="106">
        <v>6159.36</v>
      </c>
      <c r="G58" s="106">
        <v>0</v>
      </c>
      <c r="H58" s="114">
        <f t="shared" si="0"/>
        <v>240.64000000000033</v>
      </c>
    </row>
    <row r="59" spans="1:8" x14ac:dyDescent="0.2">
      <c r="A59" s="7">
        <v>54308</v>
      </c>
      <c r="B59" s="4" t="s">
        <v>79</v>
      </c>
      <c r="C59" s="101">
        <v>2500</v>
      </c>
      <c r="D59" s="101"/>
      <c r="E59" s="106">
        <f t="shared" si="5"/>
        <v>2500</v>
      </c>
      <c r="F59" s="106">
        <v>1873.2</v>
      </c>
      <c r="G59" s="106"/>
      <c r="H59" s="114">
        <f t="shared" si="0"/>
        <v>626.79999999999995</v>
      </c>
    </row>
    <row r="60" spans="1:8" x14ac:dyDescent="0.2">
      <c r="A60" s="7">
        <v>54313</v>
      </c>
      <c r="B60" s="4" t="s">
        <v>39</v>
      </c>
      <c r="C60" s="101">
        <v>24400</v>
      </c>
      <c r="D60" s="101"/>
      <c r="E60" s="106">
        <f t="shared" si="5"/>
        <v>24400</v>
      </c>
      <c r="F60" s="106">
        <v>0</v>
      </c>
      <c r="G60" s="106">
        <v>0</v>
      </c>
      <c r="H60" s="114">
        <f t="shared" si="0"/>
        <v>24400</v>
      </c>
    </row>
    <row r="61" spans="1:8" x14ac:dyDescent="0.2">
      <c r="A61" s="7">
        <v>54314</v>
      </c>
      <c r="B61" s="4" t="s">
        <v>52</v>
      </c>
      <c r="C61" s="101">
        <v>28100</v>
      </c>
      <c r="D61" s="101">
        <v>8569.5</v>
      </c>
      <c r="E61" s="106">
        <f t="shared" si="5"/>
        <v>36669.5</v>
      </c>
      <c r="F61" s="106">
        <v>7744.5</v>
      </c>
      <c r="G61" s="106">
        <v>40</v>
      </c>
      <c r="H61" s="114">
        <f t="shared" si="0"/>
        <v>28885</v>
      </c>
    </row>
    <row r="62" spans="1:8" x14ac:dyDescent="0.2">
      <c r="A62" s="7">
        <v>54316</v>
      </c>
      <c r="B62" s="4" t="s">
        <v>40</v>
      </c>
      <c r="C62" s="101">
        <v>24000</v>
      </c>
      <c r="D62" s="101"/>
      <c r="E62" s="106">
        <f t="shared" si="5"/>
        <v>24000</v>
      </c>
      <c r="F62" s="106">
        <v>23852.52</v>
      </c>
      <c r="G62" s="106">
        <v>0</v>
      </c>
      <c r="H62" s="114">
        <f t="shared" si="0"/>
        <v>147.47999999999956</v>
      </c>
    </row>
    <row r="63" spans="1:8" x14ac:dyDescent="0.2">
      <c r="A63" s="7">
        <v>54317</v>
      </c>
      <c r="B63" s="4" t="s">
        <v>41</v>
      </c>
      <c r="C63" s="101">
        <v>584880</v>
      </c>
      <c r="D63" s="101">
        <v>128</v>
      </c>
      <c r="E63" s="106">
        <f t="shared" si="5"/>
        <v>585008</v>
      </c>
      <c r="F63" s="106">
        <v>577000.92000000004</v>
      </c>
      <c r="G63" s="106">
        <v>0</v>
      </c>
      <c r="H63" s="114">
        <f t="shared" si="0"/>
        <v>8007.0799999999581</v>
      </c>
    </row>
    <row r="64" spans="1:8" x14ac:dyDescent="0.2">
      <c r="A64" s="7">
        <v>54399</v>
      </c>
      <c r="B64" s="4" t="s">
        <v>42</v>
      </c>
      <c r="C64" s="101">
        <v>47080</v>
      </c>
      <c r="D64" s="101">
        <v>-2471.6999999999998</v>
      </c>
      <c r="E64" s="106">
        <f t="shared" si="5"/>
        <v>44608.3</v>
      </c>
      <c r="F64" s="106">
        <v>37706.879999999997</v>
      </c>
      <c r="G64" s="106">
        <v>0</v>
      </c>
      <c r="H64" s="114">
        <f t="shared" si="0"/>
        <v>6901.4200000000055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-14644.390000000003</v>
      </c>
      <c r="E65" s="30">
        <f>SUM(E53:E64)</f>
        <v>884475.6100000001</v>
      </c>
      <c r="F65" s="30">
        <f>SUM(F53:F64)</f>
        <v>691508.28</v>
      </c>
      <c r="G65" s="30">
        <f>SUM(G53:G64)</f>
        <v>40</v>
      </c>
      <c r="H65" s="33">
        <f t="shared" si="0"/>
        <v>192927.33000000007</v>
      </c>
    </row>
    <row r="66" spans="1:9" x14ac:dyDescent="0.2">
      <c r="A66" s="7">
        <v>54402</v>
      </c>
      <c r="B66" s="4" t="s">
        <v>43</v>
      </c>
      <c r="C66" s="101">
        <v>8000</v>
      </c>
      <c r="D66" s="101">
        <v>8246.59</v>
      </c>
      <c r="E66" s="106">
        <f t="shared" ref="E66:E68" si="6">+C66+D66</f>
        <v>16246.59</v>
      </c>
      <c r="F66" s="106">
        <v>12246.59</v>
      </c>
      <c r="G66" s="101">
        <v>0</v>
      </c>
      <c r="H66" s="114">
        <f t="shared" si="0"/>
        <v>4000</v>
      </c>
    </row>
    <row r="67" spans="1:9" x14ac:dyDescent="0.2">
      <c r="A67" s="7">
        <v>54403</v>
      </c>
      <c r="B67" s="4" t="s">
        <v>44</v>
      </c>
      <c r="C67" s="101">
        <v>11460</v>
      </c>
      <c r="D67" s="101">
        <v>3</v>
      </c>
      <c r="E67" s="106">
        <f t="shared" si="6"/>
        <v>11463</v>
      </c>
      <c r="F67" s="106">
        <v>1991</v>
      </c>
      <c r="G67" s="106">
        <v>0</v>
      </c>
      <c r="H67" s="114">
        <f t="shared" si="0"/>
        <v>9472</v>
      </c>
    </row>
    <row r="68" spans="1:9" x14ac:dyDescent="0.2">
      <c r="A68" s="7">
        <v>54404</v>
      </c>
      <c r="B68" s="4" t="s">
        <v>45</v>
      </c>
      <c r="C68" s="101">
        <v>20000</v>
      </c>
      <c r="D68" s="101">
        <v>9305</v>
      </c>
      <c r="E68" s="106">
        <f t="shared" si="6"/>
        <v>29305</v>
      </c>
      <c r="F68" s="106">
        <v>17140</v>
      </c>
      <c r="G68" s="106">
        <v>0</v>
      </c>
      <c r="H68" s="114">
        <f t="shared" si="0"/>
        <v>12165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17554.59</v>
      </c>
      <c r="E69" s="30">
        <f>SUM(E66:E68)</f>
        <v>57014.59</v>
      </c>
      <c r="F69" s="30">
        <f>SUM(F66:F68)</f>
        <v>31377.59</v>
      </c>
      <c r="G69" s="30">
        <f>SUM(G66:G68)</f>
        <v>0</v>
      </c>
      <c r="H69" s="33">
        <f t="shared" si="0"/>
        <v>25636.999999999996</v>
      </c>
    </row>
    <row r="70" spans="1:9" x14ac:dyDescent="0.2">
      <c r="A70" s="7">
        <v>54505</v>
      </c>
      <c r="B70" s="4" t="s">
        <v>46</v>
      </c>
      <c r="C70" s="101">
        <v>2000</v>
      </c>
      <c r="D70" s="101">
        <v>1362.97</v>
      </c>
      <c r="E70" s="106">
        <f t="shared" ref="E70:E71" si="7">+C70+D70</f>
        <v>3362.9700000000003</v>
      </c>
      <c r="F70" s="106">
        <v>3362.97</v>
      </c>
      <c r="G70" s="106">
        <v>0</v>
      </c>
      <c r="H70" s="114">
        <f t="shared" si="0"/>
        <v>4.5474735088646412E-13</v>
      </c>
    </row>
    <row r="71" spans="1:9" x14ac:dyDescent="0.2">
      <c r="A71" s="7">
        <v>54599</v>
      </c>
      <c r="B71" s="4" t="s">
        <v>66</v>
      </c>
      <c r="C71" s="101">
        <v>36000</v>
      </c>
      <c r="D71" s="101">
        <v>-8022.7</v>
      </c>
      <c r="E71" s="106">
        <f t="shared" si="7"/>
        <v>27977.3</v>
      </c>
      <c r="F71" s="106">
        <v>0</v>
      </c>
      <c r="G71" s="106">
        <v>0</v>
      </c>
      <c r="H71" s="114">
        <f t="shared" si="0"/>
        <v>27977.3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-6659.73</v>
      </c>
      <c r="E72" s="30">
        <f>SUM(E70:E71)</f>
        <v>31340.27</v>
      </c>
      <c r="F72" s="30">
        <f>SUM(F70:F71)</f>
        <v>3362.97</v>
      </c>
      <c r="G72" s="30">
        <f>SUM(G70:G71)</f>
        <v>0</v>
      </c>
      <c r="H72" s="114">
        <f t="shared" si="0"/>
        <v>27977.3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1443959.27</v>
      </c>
      <c r="G73" s="90">
        <f>+G72+G69+G65+G52+G43</f>
        <v>448.64</v>
      </c>
      <c r="H73" s="97">
        <f t="shared" si="0"/>
        <v>606846.09</v>
      </c>
    </row>
    <row r="74" spans="1:9" x14ac:dyDescent="0.2">
      <c r="A74" s="7">
        <v>55599</v>
      </c>
      <c r="B74" s="4" t="s">
        <v>47</v>
      </c>
      <c r="C74" s="101">
        <v>3400</v>
      </c>
      <c r="D74" s="101">
        <v>4.9800000000000004</v>
      </c>
      <c r="E74" s="106">
        <f>+C74+D74</f>
        <v>3404.98</v>
      </c>
      <c r="F74" s="106">
        <v>3404.98</v>
      </c>
      <c r="G74" s="106">
        <v>0</v>
      </c>
      <c r="H74" s="114">
        <f t="shared" ref="H74:H98" si="8">+E74-F74-G74</f>
        <v>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4.9800000000000004</v>
      </c>
      <c r="E75" s="30">
        <f>SUM(E74)</f>
        <v>3404.98</v>
      </c>
      <c r="F75" s="30">
        <f>SUM(F74)</f>
        <v>3404.98</v>
      </c>
      <c r="G75" s="30">
        <f>SUM(G74)</f>
        <v>0</v>
      </c>
      <c r="H75" s="114">
        <f t="shared" si="8"/>
        <v>0</v>
      </c>
    </row>
    <row r="76" spans="1:9" x14ac:dyDescent="0.2">
      <c r="A76" s="7">
        <v>55601</v>
      </c>
      <c r="B76" s="4" t="s">
        <v>48</v>
      </c>
      <c r="C76" s="101">
        <f>47000+100000</f>
        <v>147000</v>
      </c>
      <c r="D76" s="101"/>
      <c r="E76" s="106">
        <f t="shared" ref="E76:E78" si="9">+C76+D76</f>
        <v>147000</v>
      </c>
      <c r="F76" s="106">
        <v>35284.28</v>
      </c>
      <c r="G76" s="106">
        <v>0</v>
      </c>
      <c r="H76" s="114">
        <f t="shared" si="8"/>
        <v>111715.72</v>
      </c>
    </row>
    <row r="77" spans="1:9" x14ac:dyDescent="0.2">
      <c r="A77" s="7">
        <v>55602</v>
      </c>
      <c r="B77" s="4" t="s">
        <v>49</v>
      </c>
      <c r="C77" s="101">
        <v>48000</v>
      </c>
      <c r="D77" s="101">
        <v>-4.9800000000000004</v>
      </c>
      <c r="E77" s="106">
        <f t="shared" si="9"/>
        <v>47995.02</v>
      </c>
      <c r="F77" s="106">
        <v>36825.449999999997</v>
      </c>
      <c r="G77" s="106">
        <v>0</v>
      </c>
      <c r="H77" s="114">
        <f t="shared" si="8"/>
        <v>11169.57</v>
      </c>
    </row>
    <row r="78" spans="1:9" x14ac:dyDescent="0.2">
      <c r="A78" s="7">
        <v>55603</v>
      </c>
      <c r="B78" s="4" t="s">
        <v>72</v>
      </c>
      <c r="C78" s="101">
        <v>25</v>
      </c>
      <c r="D78" s="101">
        <v>0</v>
      </c>
      <c r="E78" s="106">
        <f t="shared" si="9"/>
        <v>25</v>
      </c>
      <c r="F78" s="106"/>
      <c r="G78" s="101">
        <v>0</v>
      </c>
      <c r="H78" s="114">
        <f t="shared" si="8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-4.9800000000000004</v>
      </c>
      <c r="E79" s="30">
        <f>SUM(E76:E78)</f>
        <v>195020.02</v>
      </c>
      <c r="F79" s="30">
        <f>SUM(F76:F78)</f>
        <v>72109.73</v>
      </c>
      <c r="G79" s="30">
        <f>SUM(G76:G78)</f>
        <v>0</v>
      </c>
      <c r="H79" s="114">
        <f t="shared" si="8"/>
        <v>122910.29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75514.709999999992</v>
      </c>
      <c r="G80" s="90">
        <f>+G75+G79</f>
        <v>0</v>
      </c>
      <c r="H80" s="97">
        <f t="shared" si="8"/>
        <v>122910.29000000001</v>
      </c>
      <c r="I80" s="2"/>
    </row>
    <row r="81" spans="1:9" s="10" customFormat="1" x14ac:dyDescent="0.2">
      <c r="A81" s="7">
        <v>56303</v>
      </c>
      <c r="B81" s="4" t="s">
        <v>68</v>
      </c>
      <c r="C81" s="101">
        <v>4000</v>
      </c>
      <c r="D81" s="101"/>
      <c r="E81" s="106">
        <f t="shared" ref="E81:E82" si="10">+C81+D81</f>
        <v>4000</v>
      </c>
      <c r="F81" s="106"/>
      <c r="G81" s="101">
        <v>0</v>
      </c>
      <c r="H81" s="114">
        <f t="shared" si="8"/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101">
        <v>0</v>
      </c>
      <c r="D82" s="101">
        <v>0</v>
      </c>
      <c r="E82" s="106">
        <f t="shared" si="10"/>
        <v>0</v>
      </c>
      <c r="F82" s="106">
        <v>0</v>
      </c>
      <c r="G82" s="101">
        <v>0</v>
      </c>
      <c r="H82" s="114">
        <f t="shared" si="8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8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101">
        <v>5500</v>
      </c>
      <c r="D84" s="101"/>
      <c r="E84" s="106">
        <f>+C84+D84</f>
        <v>5500</v>
      </c>
      <c r="F84" s="106">
        <v>0</v>
      </c>
      <c r="G84" s="101">
        <v>0</v>
      </c>
      <c r="H84" s="114">
        <f t="shared" si="8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115">
        <f t="shared" si="8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1">+D83+D85</f>
        <v>0</v>
      </c>
      <c r="E86" s="77">
        <f t="shared" si="11"/>
        <v>9500</v>
      </c>
      <c r="F86" s="116">
        <f t="shared" si="11"/>
        <v>0</v>
      </c>
      <c r="G86" s="89">
        <f t="shared" si="11"/>
        <v>0</v>
      </c>
      <c r="H86" s="98">
        <f t="shared" si="11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19" customFormat="1" x14ac:dyDescent="0.2">
      <c r="A91" s="57">
        <v>61101</v>
      </c>
      <c r="B91" s="58" t="s">
        <v>57</v>
      </c>
      <c r="C91" s="117">
        <v>5000</v>
      </c>
      <c r="D91" s="117"/>
      <c r="E91" s="112">
        <f t="shared" ref="E91:E95" si="12">+C91+D91</f>
        <v>5000</v>
      </c>
      <c r="F91" s="112">
        <v>0</v>
      </c>
      <c r="G91" s="117">
        <v>0</v>
      </c>
      <c r="H91" s="113">
        <f t="shared" si="8"/>
        <v>5000</v>
      </c>
      <c r="I91" s="118"/>
    </row>
    <row r="92" spans="1:9" s="119" customFormat="1" x14ac:dyDescent="0.2">
      <c r="A92" s="8">
        <v>61102</v>
      </c>
      <c r="B92" s="24" t="s">
        <v>64</v>
      </c>
      <c r="C92" s="108">
        <v>15000</v>
      </c>
      <c r="D92" s="108">
        <v>-7896.47</v>
      </c>
      <c r="E92" s="106">
        <f t="shared" si="12"/>
        <v>7103.53</v>
      </c>
      <c r="F92" s="106">
        <v>2093</v>
      </c>
      <c r="G92" s="108">
        <v>0</v>
      </c>
      <c r="H92" s="114">
        <f t="shared" si="8"/>
        <v>5010.53</v>
      </c>
      <c r="I92" s="118"/>
    </row>
    <row r="93" spans="1:9" s="119" customFormat="1" x14ac:dyDescent="0.2">
      <c r="A93" s="8">
        <v>61103</v>
      </c>
      <c r="B93" s="24" t="s">
        <v>65</v>
      </c>
      <c r="C93" s="108">
        <v>500</v>
      </c>
      <c r="D93" s="108"/>
      <c r="E93" s="106">
        <f t="shared" si="12"/>
        <v>500</v>
      </c>
      <c r="F93" s="106">
        <v>0</v>
      </c>
      <c r="G93" s="108">
        <v>0</v>
      </c>
      <c r="H93" s="114">
        <f t="shared" si="8"/>
        <v>500</v>
      </c>
      <c r="I93" s="118"/>
    </row>
    <row r="94" spans="1:9" s="119" customFormat="1" x14ac:dyDescent="0.2">
      <c r="A94" s="8">
        <v>61104</v>
      </c>
      <c r="B94" s="24" t="s">
        <v>60</v>
      </c>
      <c r="C94" s="108">
        <v>15055</v>
      </c>
      <c r="D94" s="108">
        <v>1000.04</v>
      </c>
      <c r="E94" s="106">
        <f t="shared" si="12"/>
        <v>16055.04</v>
      </c>
      <c r="F94" s="106">
        <v>16055.04</v>
      </c>
      <c r="G94" s="108">
        <v>0</v>
      </c>
      <c r="H94" s="114">
        <f t="shared" si="8"/>
        <v>0</v>
      </c>
      <c r="I94" s="118"/>
    </row>
    <row r="95" spans="1:9" s="10" customFormat="1" x14ac:dyDescent="0.2">
      <c r="A95" s="7">
        <v>61108</v>
      </c>
      <c r="B95" s="4" t="s">
        <v>27</v>
      </c>
      <c r="C95" s="101">
        <v>1000</v>
      </c>
      <c r="D95" s="101"/>
      <c r="E95" s="106">
        <f t="shared" si="12"/>
        <v>1000</v>
      </c>
      <c r="F95" s="106">
        <v>0</v>
      </c>
      <c r="G95" s="101">
        <v>0</v>
      </c>
      <c r="H95" s="114">
        <f t="shared" si="8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-6896.43</v>
      </c>
      <c r="E96" s="30">
        <f>SUM(E91:E95)</f>
        <v>29658.57</v>
      </c>
      <c r="F96" s="30">
        <f>SUM(F91:F95)</f>
        <v>18148.04</v>
      </c>
      <c r="G96" s="30">
        <f>SUM(G95)</f>
        <v>0</v>
      </c>
      <c r="H96" s="33">
        <f t="shared" si="8"/>
        <v>11510.529999999999</v>
      </c>
      <c r="I96" s="11"/>
    </row>
    <row r="97" spans="1:10" s="10" customFormat="1" x14ac:dyDescent="0.2">
      <c r="A97" s="7">
        <v>61403</v>
      </c>
      <c r="B97" s="4" t="s">
        <v>82</v>
      </c>
      <c r="C97" s="101">
        <v>0</v>
      </c>
      <c r="D97" s="101">
        <v>6896.43</v>
      </c>
      <c r="E97" s="106">
        <f>+C97+D97</f>
        <v>6896.43</v>
      </c>
      <c r="F97" s="101">
        <v>5357.33</v>
      </c>
      <c r="G97" s="101">
        <v>0</v>
      </c>
      <c r="H97" s="114">
        <f t="shared" si="8"/>
        <v>1539.1000000000004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6896.43</v>
      </c>
      <c r="E98" s="120">
        <f>+E97</f>
        <v>6896.43</v>
      </c>
      <c r="F98" s="120">
        <f>+F97</f>
        <v>5357.33</v>
      </c>
      <c r="G98" s="120">
        <f>SUM(G97)</f>
        <v>0</v>
      </c>
      <c r="H98" s="121">
        <f t="shared" si="8"/>
        <v>1539.1000000000004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23505.370000000003</v>
      </c>
      <c r="G99" s="87">
        <v>0</v>
      </c>
      <c r="H99" s="99">
        <f>+H98+H96</f>
        <v>13049.63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-2.0008883439004421E-11</v>
      </c>
      <c r="E100" s="81">
        <f>+E24+E73+E80+E99+E86</f>
        <v>10187404</v>
      </c>
      <c r="F100" s="86">
        <f>+F24+F73+F80+F99+F86</f>
        <v>3819192.88</v>
      </c>
      <c r="G100" s="88">
        <f>+G24+G73+G80+G99+G86</f>
        <v>72957.539999999994</v>
      </c>
      <c r="H100" s="100">
        <f>+E100-F100-G100</f>
        <v>6295253.5800000001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ABR-19&amp;R&amp;P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9" workbookViewId="0">
      <selection activeCell="B98" sqref="B98"/>
    </sheetView>
  </sheetViews>
  <sheetFormatPr baseColWidth="10" defaultRowHeight="12.75" x14ac:dyDescent="0.2"/>
  <cols>
    <col min="1" max="1" width="7" style="127" customWidth="1"/>
    <col min="2" max="2" width="32.28515625" style="127" customWidth="1"/>
    <col min="3" max="3" width="15.7109375" style="127" customWidth="1"/>
    <col min="4" max="4" width="13.140625" style="127" customWidth="1"/>
    <col min="5" max="5" width="14.7109375" style="127" customWidth="1"/>
    <col min="6" max="7" width="14.140625" style="127" customWidth="1"/>
    <col min="8" max="8" width="14.7109375" style="127" customWidth="1"/>
    <col min="9" max="10" width="11.42578125" style="127"/>
    <col min="11" max="11" width="13.28515625" style="127" bestFit="1" customWidth="1"/>
    <col min="12" max="16384" width="11.42578125" style="127"/>
  </cols>
  <sheetData>
    <row r="1" spans="1:9" ht="15" x14ac:dyDescent="0.2">
      <c r="A1" s="126"/>
      <c r="B1" s="194" t="s">
        <v>50</v>
      </c>
      <c r="C1" s="194"/>
      <c r="D1" s="194"/>
      <c r="E1" s="194"/>
      <c r="F1" s="194"/>
      <c r="G1" s="194"/>
      <c r="H1" s="194"/>
      <c r="I1" s="194"/>
    </row>
    <row r="2" spans="1:9" ht="14.25" x14ac:dyDescent="0.2">
      <c r="A2" s="126"/>
      <c r="B2" s="195" t="s">
        <v>51</v>
      </c>
      <c r="C2" s="195"/>
      <c r="D2" s="195"/>
      <c r="E2" s="195"/>
      <c r="F2" s="195"/>
      <c r="G2" s="128"/>
      <c r="H2" s="126"/>
      <c r="I2" s="126"/>
    </row>
    <row r="3" spans="1:9" ht="14.25" x14ac:dyDescent="0.2">
      <c r="A3" s="129"/>
      <c r="B3" s="195" t="s">
        <v>62</v>
      </c>
      <c r="C3" s="195"/>
      <c r="D3" s="195"/>
      <c r="E3" s="195"/>
      <c r="F3" s="195"/>
      <c r="G3" s="128"/>
      <c r="H3" s="129"/>
      <c r="I3" s="126"/>
    </row>
    <row r="4" spans="1:9" ht="14.25" x14ac:dyDescent="0.2">
      <c r="A4" s="129"/>
      <c r="B4" s="128"/>
      <c r="C4" s="128"/>
      <c r="D4" s="128"/>
      <c r="E4" s="128"/>
      <c r="F4" s="128"/>
      <c r="G4" s="128"/>
      <c r="H4" s="129"/>
      <c r="I4" s="126"/>
    </row>
    <row r="5" spans="1:9" ht="14.25" x14ac:dyDescent="0.2">
      <c r="A5" s="193" t="s">
        <v>61</v>
      </c>
      <c r="B5" s="193"/>
      <c r="C5" s="193"/>
      <c r="D5" s="193"/>
      <c r="E5" s="193"/>
      <c r="F5" s="193"/>
      <c r="G5" s="193"/>
      <c r="H5" s="193"/>
      <c r="I5" s="126"/>
    </row>
    <row r="6" spans="1:9" ht="14.25" x14ac:dyDescent="0.2">
      <c r="A6" s="130"/>
      <c r="B6" s="193" t="s">
        <v>85</v>
      </c>
      <c r="C6" s="193"/>
      <c r="D6" s="193"/>
      <c r="E6" s="193"/>
      <c r="F6" s="193"/>
      <c r="G6" s="193"/>
      <c r="H6" s="193"/>
      <c r="I6" s="126"/>
    </row>
    <row r="7" spans="1:9" ht="15" thickBot="1" x14ac:dyDescent="0.25">
      <c r="A7" s="193"/>
      <c r="B7" s="193"/>
      <c r="C7" s="193"/>
      <c r="D7" s="193"/>
      <c r="E7" s="193"/>
      <c r="F7" s="193"/>
      <c r="G7" s="193"/>
      <c r="H7" s="193"/>
      <c r="I7" s="126"/>
    </row>
    <row r="8" spans="1:9" s="135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131" t="s">
        <v>70</v>
      </c>
      <c r="F8" s="132" t="s">
        <v>53</v>
      </c>
      <c r="G8" s="133" t="s">
        <v>69</v>
      </c>
      <c r="H8" s="134" t="s">
        <v>54</v>
      </c>
    </row>
    <row r="9" spans="1:9" x14ac:dyDescent="0.2">
      <c r="A9" s="136">
        <v>51101</v>
      </c>
      <c r="B9" s="137" t="s">
        <v>3</v>
      </c>
      <c r="C9" s="138">
        <v>4981600</v>
      </c>
      <c r="D9" s="138">
        <v>-115522.84</v>
      </c>
      <c r="E9" s="138">
        <f>+C9+D9</f>
        <v>4866077.16</v>
      </c>
      <c r="F9" s="138">
        <v>1976476.06</v>
      </c>
      <c r="G9" s="138">
        <f>64848.12-21086.74</f>
        <v>43761.380000000005</v>
      </c>
      <c r="H9" s="139">
        <f t="shared" ref="H9:H72" si="0">+E9-F9-G9</f>
        <v>2845839.72</v>
      </c>
    </row>
    <row r="10" spans="1:9" x14ac:dyDescent="0.2">
      <c r="A10" s="8">
        <v>51103</v>
      </c>
      <c r="B10" s="24" t="s">
        <v>4</v>
      </c>
      <c r="C10" s="108">
        <v>184335</v>
      </c>
      <c r="D10" s="138">
        <v>-4562.6000000000004</v>
      </c>
      <c r="E10" s="138">
        <f t="shared" ref="E10:E23" si="1">+C10+D10</f>
        <v>179772.4</v>
      </c>
      <c r="F10" s="138"/>
      <c r="G10" s="138">
        <v>0</v>
      </c>
      <c r="H10" s="139">
        <f t="shared" si="0"/>
        <v>179772.4</v>
      </c>
    </row>
    <row r="11" spans="1:9" x14ac:dyDescent="0.2">
      <c r="A11" s="8">
        <v>51107</v>
      </c>
      <c r="B11" s="24" t="s">
        <v>74</v>
      </c>
      <c r="C11" s="108">
        <v>520650</v>
      </c>
      <c r="D11" s="108">
        <v>-11700</v>
      </c>
      <c r="E11" s="138">
        <f t="shared" si="1"/>
        <v>508950</v>
      </c>
      <c r="F11" s="138"/>
      <c r="G11" s="138">
        <v>0</v>
      </c>
      <c r="H11" s="139">
        <f t="shared" si="0"/>
        <v>508950</v>
      </c>
    </row>
    <row r="12" spans="1:9" x14ac:dyDescent="0.2">
      <c r="A12" s="8">
        <v>51201</v>
      </c>
      <c r="B12" s="24" t="s">
        <v>5</v>
      </c>
      <c r="C12" s="108">
        <v>1068700</v>
      </c>
      <c r="D12" s="108">
        <v>89803.42</v>
      </c>
      <c r="E12" s="138">
        <f t="shared" si="1"/>
        <v>1158503.42</v>
      </c>
      <c r="F12" s="138">
        <v>455047.76</v>
      </c>
      <c r="G12" s="138">
        <f>26146.42-8931.95</f>
        <v>17214.469999999998</v>
      </c>
      <c r="H12" s="139">
        <f t="shared" si="0"/>
        <v>686241.19</v>
      </c>
    </row>
    <row r="13" spans="1:9" x14ac:dyDescent="0.2">
      <c r="A13" s="8">
        <v>51203</v>
      </c>
      <c r="B13" s="24" t="s">
        <v>4</v>
      </c>
      <c r="C13" s="108">
        <v>31030</v>
      </c>
      <c r="D13" s="108">
        <v>5475.12</v>
      </c>
      <c r="E13" s="138">
        <f t="shared" si="1"/>
        <v>36505.120000000003</v>
      </c>
      <c r="F13" s="138"/>
      <c r="G13" s="138">
        <v>0</v>
      </c>
      <c r="H13" s="139">
        <f t="shared" si="0"/>
        <v>36505.120000000003</v>
      </c>
    </row>
    <row r="14" spans="1:9" x14ac:dyDescent="0.2">
      <c r="A14" s="8">
        <v>51207</v>
      </c>
      <c r="B14" s="24" t="s">
        <v>74</v>
      </c>
      <c r="C14" s="108">
        <v>88400</v>
      </c>
      <c r="D14" s="108">
        <v>15600</v>
      </c>
      <c r="E14" s="138">
        <f t="shared" si="1"/>
        <v>104000</v>
      </c>
      <c r="F14" s="138"/>
      <c r="G14" s="138">
        <v>0</v>
      </c>
      <c r="H14" s="139">
        <f t="shared" si="0"/>
        <v>104000</v>
      </c>
    </row>
    <row r="15" spans="1:9" x14ac:dyDescent="0.2">
      <c r="A15" s="8">
        <v>51401</v>
      </c>
      <c r="B15" s="24" t="s">
        <v>6</v>
      </c>
      <c r="C15" s="108">
        <v>329750</v>
      </c>
      <c r="D15" s="108">
        <v>-10599.12</v>
      </c>
      <c r="E15" s="138">
        <f t="shared" si="1"/>
        <v>319150.88</v>
      </c>
      <c r="F15" s="138">
        <v>118778.06</v>
      </c>
      <c r="G15" s="138">
        <f>16346.57-4357.94</f>
        <v>11988.630000000001</v>
      </c>
      <c r="H15" s="139">
        <f t="shared" si="0"/>
        <v>188384.19</v>
      </c>
    </row>
    <row r="16" spans="1:9" x14ac:dyDescent="0.2">
      <c r="A16" s="8">
        <v>51402</v>
      </c>
      <c r="B16" s="24" t="s">
        <v>7</v>
      </c>
      <c r="C16" s="108">
        <v>57985</v>
      </c>
      <c r="D16" s="108">
        <v>7272.71</v>
      </c>
      <c r="E16" s="138">
        <f t="shared" si="1"/>
        <v>65257.71</v>
      </c>
      <c r="F16" s="138">
        <v>25231.040000000001</v>
      </c>
      <c r="G16" s="138">
        <f>1731.92-449.18</f>
        <v>1282.74</v>
      </c>
      <c r="H16" s="139">
        <f t="shared" si="0"/>
        <v>38743.93</v>
      </c>
    </row>
    <row r="17" spans="1:11" x14ac:dyDescent="0.2">
      <c r="A17" s="8">
        <v>51501</v>
      </c>
      <c r="B17" s="24" t="s">
        <v>8</v>
      </c>
      <c r="C17" s="108">
        <v>371700</v>
      </c>
      <c r="D17" s="108">
        <v>-11448.08</v>
      </c>
      <c r="E17" s="138">
        <f t="shared" si="1"/>
        <v>360251.92</v>
      </c>
      <c r="F17" s="138">
        <v>132589.09</v>
      </c>
      <c r="G17" s="138">
        <f>19620.56-4129.23</f>
        <v>15491.330000000002</v>
      </c>
      <c r="H17" s="139">
        <f t="shared" si="0"/>
        <v>212171.5</v>
      </c>
    </row>
    <row r="18" spans="1:11" x14ac:dyDescent="0.2">
      <c r="A18" s="8">
        <v>51502</v>
      </c>
      <c r="B18" s="24" t="s">
        <v>9</v>
      </c>
      <c r="C18" s="108">
        <v>82830</v>
      </c>
      <c r="D18" s="108">
        <v>6997.13</v>
      </c>
      <c r="E18" s="138">
        <f t="shared" si="1"/>
        <v>89827.13</v>
      </c>
      <c r="F18" s="138">
        <v>33556.97</v>
      </c>
      <c r="G18" s="138">
        <f>3786.11-793.84</f>
        <v>2992.27</v>
      </c>
      <c r="H18" s="139">
        <f t="shared" si="0"/>
        <v>53277.890000000007</v>
      </c>
    </row>
    <row r="19" spans="1:11" x14ac:dyDescent="0.2">
      <c r="A19" s="8">
        <v>51601</v>
      </c>
      <c r="B19" s="24" t="s">
        <v>10</v>
      </c>
      <c r="C19" s="108">
        <v>46625</v>
      </c>
      <c r="D19" s="108"/>
      <c r="E19" s="138">
        <f t="shared" si="1"/>
        <v>46625</v>
      </c>
      <c r="F19" s="138">
        <v>18397.53</v>
      </c>
      <c r="G19" s="138">
        <v>1031.27</v>
      </c>
      <c r="H19" s="139">
        <f t="shared" si="0"/>
        <v>27196.2</v>
      </c>
    </row>
    <row r="20" spans="1:11" x14ac:dyDescent="0.2">
      <c r="A20" s="8">
        <v>51701</v>
      </c>
      <c r="B20" s="24" t="s">
        <v>71</v>
      </c>
      <c r="C20" s="108">
        <v>39615</v>
      </c>
      <c r="D20" s="108">
        <v>-2002.19</v>
      </c>
      <c r="E20" s="138">
        <f t="shared" si="1"/>
        <v>37612.81</v>
      </c>
      <c r="F20" s="138">
        <v>37607.879999999997</v>
      </c>
      <c r="G20" s="138">
        <v>4.93</v>
      </c>
      <c r="H20" s="139">
        <f t="shared" si="0"/>
        <v>2.9132252166164108E-13</v>
      </c>
    </row>
    <row r="21" spans="1:11" x14ac:dyDescent="0.2">
      <c r="A21" s="8">
        <v>51702</v>
      </c>
      <c r="B21" s="24" t="s">
        <v>81</v>
      </c>
      <c r="C21" s="108">
        <v>0</v>
      </c>
      <c r="D21" s="108">
        <v>2002.19</v>
      </c>
      <c r="E21" s="138">
        <f t="shared" si="1"/>
        <v>2002.19</v>
      </c>
      <c r="F21" s="138">
        <v>2002.19</v>
      </c>
      <c r="G21" s="138"/>
      <c r="H21" s="139">
        <f t="shared" si="0"/>
        <v>0</v>
      </c>
    </row>
    <row r="22" spans="1:11" x14ac:dyDescent="0.2">
      <c r="A22" s="8">
        <v>51903</v>
      </c>
      <c r="B22" s="24" t="s">
        <v>67</v>
      </c>
      <c r="C22" s="108">
        <v>71450</v>
      </c>
      <c r="D22" s="108"/>
      <c r="E22" s="138">
        <f t="shared" si="1"/>
        <v>71450</v>
      </c>
      <c r="F22" s="138">
        <v>30862.21</v>
      </c>
      <c r="G22" s="138">
        <v>4537.79</v>
      </c>
      <c r="H22" s="139">
        <f t="shared" si="0"/>
        <v>36050</v>
      </c>
    </row>
    <row r="23" spans="1:11" x14ac:dyDescent="0.2">
      <c r="A23" s="8">
        <v>51999</v>
      </c>
      <c r="B23" s="24" t="s">
        <v>58</v>
      </c>
      <c r="C23" s="108">
        <v>17000</v>
      </c>
      <c r="D23" s="108">
        <v>-11064.62</v>
      </c>
      <c r="E23" s="138">
        <f t="shared" si="1"/>
        <v>5935.3799999999992</v>
      </c>
      <c r="F23" s="138"/>
      <c r="G23" s="140">
        <v>0</v>
      </c>
      <c r="H23" s="139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141">
        <f t="shared" si="2"/>
        <v>7851921.1200000001</v>
      </c>
      <c r="F24" s="142">
        <f t="shared" si="2"/>
        <v>2830548.79</v>
      </c>
      <c r="G24" s="143">
        <f t="shared" si="2"/>
        <v>98304.810000000012</v>
      </c>
      <c r="H24" s="144">
        <f t="shared" si="2"/>
        <v>4923067.5200000005</v>
      </c>
    </row>
    <row r="25" spans="1:11" x14ac:dyDescent="0.2">
      <c r="A25" s="8">
        <v>54101</v>
      </c>
      <c r="B25" s="24" t="s">
        <v>12</v>
      </c>
      <c r="C25" s="108">
        <v>68030</v>
      </c>
      <c r="D25" s="108">
        <v>2492</v>
      </c>
      <c r="E25" s="138">
        <f t="shared" ref="E25:E42" si="3">+C25+D25</f>
        <v>70522</v>
      </c>
      <c r="F25" s="138">
        <v>53008.99</v>
      </c>
      <c r="G25" s="138">
        <v>207.5</v>
      </c>
      <c r="H25" s="139">
        <f t="shared" si="0"/>
        <v>17305.510000000002</v>
      </c>
    </row>
    <row r="26" spans="1:11" x14ac:dyDescent="0.2">
      <c r="A26" s="8">
        <v>54103</v>
      </c>
      <c r="B26" s="24" t="s">
        <v>13</v>
      </c>
      <c r="C26" s="108">
        <v>1000</v>
      </c>
      <c r="D26" s="108">
        <v>-351.67</v>
      </c>
      <c r="E26" s="138">
        <f t="shared" si="3"/>
        <v>648.32999999999993</v>
      </c>
      <c r="F26" s="138">
        <v>135.9</v>
      </c>
      <c r="G26" s="138">
        <v>0</v>
      </c>
      <c r="H26" s="139">
        <f t="shared" si="0"/>
        <v>512.42999999999995</v>
      </c>
    </row>
    <row r="27" spans="1:11" x14ac:dyDescent="0.2">
      <c r="A27" s="8">
        <v>54104</v>
      </c>
      <c r="B27" s="24" t="s">
        <v>14</v>
      </c>
      <c r="C27" s="108">
        <v>49845</v>
      </c>
      <c r="D27" s="108">
        <v>1654.14</v>
      </c>
      <c r="E27" s="138">
        <f t="shared" si="3"/>
        <v>51499.14</v>
      </c>
      <c r="F27" s="138">
        <v>3930.1</v>
      </c>
      <c r="G27" s="138">
        <v>201.14</v>
      </c>
      <c r="H27" s="139">
        <f t="shared" si="0"/>
        <v>47367.9</v>
      </c>
    </row>
    <row r="28" spans="1:11" x14ac:dyDescent="0.2">
      <c r="A28" s="8">
        <v>54105</v>
      </c>
      <c r="B28" s="24" t="s">
        <v>15</v>
      </c>
      <c r="C28" s="108">
        <v>23675</v>
      </c>
      <c r="D28" s="108">
        <v>3601.57</v>
      </c>
      <c r="E28" s="138">
        <f t="shared" si="3"/>
        <v>27276.57</v>
      </c>
      <c r="F28" s="138">
        <v>23064.07</v>
      </c>
      <c r="G28" s="138">
        <v>0</v>
      </c>
      <c r="H28" s="139">
        <f t="shared" si="0"/>
        <v>4212.5</v>
      </c>
      <c r="K28" s="145"/>
    </row>
    <row r="29" spans="1:11" x14ac:dyDescent="0.2">
      <c r="A29" s="8">
        <v>54106</v>
      </c>
      <c r="B29" s="24" t="s">
        <v>16</v>
      </c>
      <c r="C29" s="108">
        <v>400</v>
      </c>
      <c r="D29" s="108">
        <v>164.49</v>
      </c>
      <c r="E29" s="138">
        <f t="shared" si="3"/>
        <v>564.49</v>
      </c>
      <c r="F29" s="138">
        <v>517</v>
      </c>
      <c r="G29" s="138">
        <v>0</v>
      </c>
      <c r="H29" s="139">
        <f t="shared" si="0"/>
        <v>47.490000000000009</v>
      </c>
    </row>
    <row r="30" spans="1:11" x14ac:dyDescent="0.2">
      <c r="A30" s="8">
        <v>54107</v>
      </c>
      <c r="B30" s="24" t="s">
        <v>17</v>
      </c>
      <c r="C30" s="108">
        <v>12100</v>
      </c>
      <c r="D30" s="108">
        <v>-52.75</v>
      </c>
      <c r="E30" s="138">
        <f t="shared" si="3"/>
        <v>12047.25</v>
      </c>
      <c r="F30" s="138">
        <v>11276.54</v>
      </c>
      <c r="G30" s="138">
        <v>0</v>
      </c>
      <c r="H30" s="139">
        <f t="shared" si="0"/>
        <v>770.70999999999913</v>
      </c>
    </row>
    <row r="31" spans="1:11" x14ac:dyDescent="0.2">
      <c r="A31" s="8">
        <v>54108</v>
      </c>
      <c r="B31" s="24" t="s">
        <v>18</v>
      </c>
      <c r="C31" s="108">
        <v>15000</v>
      </c>
      <c r="D31" s="108">
        <v>-52.04</v>
      </c>
      <c r="E31" s="138">
        <f t="shared" si="3"/>
        <v>14947.96</v>
      </c>
      <c r="F31" s="138">
        <v>6087.14</v>
      </c>
      <c r="G31" s="138">
        <v>0</v>
      </c>
      <c r="H31" s="139">
        <f t="shared" si="0"/>
        <v>8860.82</v>
      </c>
    </row>
    <row r="32" spans="1:11" x14ac:dyDescent="0.2">
      <c r="A32" s="8">
        <v>54109</v>
      </c>
      <c r="B32" s="24" t="s">
        <v>19</v>
      </c>
      <c r="C32" s="108">
        <v>4000</v>
      </c>
      <c r="D32" s="108"/>
      <c r="E32" s="138">
        <f t="shared" si="3"/>
        <v>4000</v>
      </c>
      <c r="F32" s="138">
        <v>700</v>
      </c>
      <c r="G32" s="138">
        <v>0</v>
      </c>
      <c r="H32" s="139">
        <f t="shared" si="0"/>
        <v>3300</v>
      </c>
    </row>
    <row r="33" spans="1:12" x14ac:dyDescent="0.2">
      <c r="A33" s="8">
        <v>54110</v>
      </c>
      <c r="B33" s="24" t="s">
        <v>20</v>
      </c>
      <c r="C33" s="108">
        <v>45700</v>
      </c>
      <c r="D33" s="108">
        <v>8.02</v>
      </c>
      <c r="E33" s="138">
        <f t="shared" si="3"/>
        <v>45708.02</v>
      </c>
      <c r="F33" s="138">
        <v>45688.02</v>
      </c>
      <c r="G33" s="138">
        <v>0</v>
      </c>
      <c r="H33" s="139">
        <f t="shared" si="0"/>
        <v>20</v>
      </c>
    </row>
    <row r="34" spans="1:12" x14ac:dyDescent="0.2">
      <c r="A34" s="8">
        <v>54111</v>
      </c>
      <c r="B34" s="24" t="s">
        <v>21</v>
      </c>
      <c r="C34" s="108">
        <v>1400</v>
      </c>
      <c r="D34" s="108">
        <v>-581.65</v>
      </c>
      <c r="E34" s="138">
        <f t="shared" si="3"/>
        <v>818.35</v>
      </c>
      <c r="F34" s="138">
        <v>318.35000000000002</v>
      </c>
      <c r="G34" s="138">
        <v>0</v>
      </c>
      <c r="H34" s="139">
        <f t="shared" si="0"/>
        <v>500</v>
      </c>
      <c r="L34" s="146"/>
    </row>
    <row r="35" spans="1:12" x14ac:dyDescent="0.2">
      <c r="A35" s="8">
        <v>54112</v>
      </c>
      <c r="B35" s="24" t="s">
        <v>22</v>
      </c>
      <c r="C35" s="108">
        <v>1400</v>
      </c>
      <c r="D35" s="108">
        <v>709.15</v>
      </c>
      <c r="E35" s="138">
        <f t="shared" si="3"/>
        <v>2109.15</v>
      </c>
      <c r="F35" s="138">
        <v>630.72</v>
      </c>
      <c r="G35" s="138">
        <v>0</v>
      </c>
      <c r="H35" s="139">
        <f t="shared" si="0"/>
        <v>1478.43</v>
      </c>
      <c r="L35" s="146"/>
    </row>
    <row r="36" spans="1:12" x14ac:dyDescent="0.2">
      <c r="A36" s="8">
        <v>54113</v>
      </c>
      <c r="B36" s="24" t="s">
        <v>23</v>
      </c>
      <c r="C36" s="108">
        <v>900</v>
      </c>
      <c r="D36" s="108"/>
      <c r="E36" s="138">
        <f t="shared" si="3"/>
        <v>900</v>
      </c>
      <c r="F36" s="138">
        <v>68</v>
      </c>
      <c r="G36" s="138">
        <v>0</v>
      </c>
      <c r="H36" s="139">
        <f t="shared" si="0"/>
        <v>832</v>
      </c>
      <c r="L36" s="146"/>
    </row>
    <row r="37" spans="1:12" x14ac:dyDescent="0.2">
      <c r="A37" s="8">
        <v>54114</v>
      </c>
      <c r="B37" s="24" t="s">
        <v>24</v>
      </c>
      <c r="C37" s="108">
        <v>5580</v>
      </c>
      <c r="D37" s="108">
        <v>655.96</v>
      </c>
      <c r="E37" s="138">
        <f t="shared" si="3"/>
        <v>6235.96</v>
      </c>
      <c r="F37" s="138">
        <v>6235.95</v>
      </c>
      <c r="G37" s="138">
        <v>0</v>
      </c>
      <c r="H37" s="139">
        <f t="shared" si="0"/>
        <v>1.0000000000218279E-2</v>
      </c>
    </row>
    <row r="38" spans="1:12" x14ac:dyDescent="0.2">
      <c r="A38" s="8">
        <v>54115</v>
      </c>
      <c r="B38" s="24" t="s">
        <v>25</v>
      </c>
      <c r="C38" s="108">
        <v>12200</v>
      </c>
      <c r="D38" s="108"/>
      <c r="E38" s="138">
        <f t="shared" si="3"/>
        <v>12200</v>
      </c>
      <c r="F38" s="138">
        <v>11631.54</v>
      </c>
      <c r="G38" s="138">
        <v>0</v>
      </c>
      <c r="H38" s="139">
        <f t="shared" si="0"/>
        <v>568.45999999999913</v>
      </c>
    </row>
    <row r="39" spans="1:12" x14ac:dyDescent="0.2">
      <c r="A39" s="8">
        <v>54116</v>
      </c>
      <c r="B39" s="24" t="s">
        <v>26</v>
      </c>
      <c r="C39" s="108">
        <v>800</v>
      </c>
      <c r="D39" s="108">
        <v>-95.7</v>
      </c>
      <c r="E39" s="138">
        <f t="shared" si="3"/>
        <v>704.3</v>
      </c>
      <c r="F39" s="138">
        <v>404.3</v>
      </c>
      <c r="G39" s="138">
        <v>0</v>
      </c>
      <c r="H39" s="139">
        <f t="shared" si="0"/>
        <v>299.99999999999994</v>
      </c>
    </row>
    <row r="40" spans="1:12" x14ac:dyDescent="0.2">
      <c r="A40" s="8">
        <v>54118</v>
      </c>
      <c r="B40" s="24" t="s">
        <v>27</v>
      </c>
      <c r="C40" s="108">
        <v>1600</v>
      </c>
      <c r="D40" s="108">
        <v>143.44999999999999</v>
      </c>
      <c r="E40" s="138">
        <f t="shared" si="3"/>
        <v>1743.45</v>
      </c>
      <c r="F40" s="138">
        <v>633.29999999999995</v>
      </c>
      <c r="G40" s="138">
        <v>0</v>
      </c>
      <c r="H40" s="139">
        <f t="shared" si="0"/>
        <v>1110.1500000000001</v>
      </c>
    </row>
    <row r="41" spans="1:12" x14ac:dyDescent="0.2">
      <c r="A41" s="8">
        <v>54119</v>
      </c>
      <c r="B41" s="24" t="s">
        <v>28</v>
      </c>
      <c r="C41" s="108">
        <v>2100</v>
      </c>
      <c r="D41" s="108">
        <v>2051.13</v>
      </c>
      <c r="E41" s="138">
        <f t="shared" si="3"/>
        <v>4151.13</v>
      </c>
      <c r="F41" s="138">
        <v>1448.93</v>
      </c>
      <c r="G41" s="138">
        <v>0</v>
      </c>
      <c r="H41" s="139">
        <f t="shared" si="0"/>
        <v>2702.2</v>
      </c>
    </row>
    <row r="42" spans="1:12" ht="13.5" thickBot="1" x14ac:dyDescent="0.25">
      <c r="A42" s="52">
        <v>54199</v>
      </c>
      <c r="B42" s="147" t="s">
        <v>29</v>
      </c>
      <c r="C42" s="148">
        <v>457819</v>
      </c>
      <c r="D42" s="148">
        <v>-4769.8</v>
      </c>
      <c r="E42" s="138">
        <f t="shared" si="3"/>
        <v>453049.2</v>
      </c>
      <c r="F42" s="138">
        <v>415940.37</v>
      </c>
      <c r="G42" s="138">
        <v>0</v>
      </c>
      <c r="H42" s="149">
        <f t="shared" si="0"/>
        <v>37108.830000000016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5576.300000000002</v>
      </c>
      <c r="E43" s="46">
        <f>SUM(E25:E42)</f>
        <v>709125.3</v>
      </c>
      <c r="F43" s="46">
        <f>SUM(F25:F42)</f>
        <v>581719.22</v>
      </c>
      <c r="G43" s="46">
        <f>SUM(G25:G42)</f>
        <v>408.64</v>
      </c>
      <c r="H43" s="150">
        <f t="shared" si="0"/>
        <v>126997.44000000008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4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4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151" t="s">
        <v>59</v>
      </c>
      <c r="F46" s="152" t="s">
        <v>53</v>
      </c>
      <c r="G46" s="153" t="s">
        <v>69</v>
      </c>
      <c r="H46" s="154" t="s">
        <v>54</v>
      </c>
    </row>
    <row r="47" spans="1:12" x14ac:dyDescent="0.2">
      <c r="A47" s="57">
        <v>54201</v>
      </c>
      <c r="B47" s="58" t="s">
        <v>30</v>
      </c>
      <c r="C47" s="117">
        <v>178835</v>
      </c>
      <c r="D47" s="117">
        <v>-1488.9</v>
      </c>
      <c r="E47" s="138">
        <f t="shared" ref="E47:E50" si="4">+C47+D47</f>
        <v>177346.1</v>
      </c>
      <c r="F47" s="138">
        <v>69501.95</v>
      </c>
      <c r="G47" s="138">
        <v>0</v>
      </c>
      <c r="H47" s="155">
        <f t="shared" si="0"/>
        <v>107844.15000000001</v>
      </c>
    </row>
    <row r="48" spans="1:12" x14ac:dyDescent="0.2">
      <c r="A48" s="8">
        <v>54202</v>
      </c>
      <c r="B48" s="24" t="s">
        <v>31</v>
      </c>
      <c r="C48" s="108">
        <v>42600</v>
      </c>
      <c r="D48" s="108">
        <v>-1471.07</v>
      </c>
      <c r="E48" s="138">
        <f t="shared" si="4"/>
        <v>41128.93</v>
      </c>
      <c r="F48" s="138">
        <v>7100.67</v>
      </c>
      <c r="G48" s="138">
        <v>0</v>
      </c>
      <c r="H48" s="139">
        <f t="shared" si="0"/>
        <v>34028.26</v>
      </c>
    </row>
    <row r="49" spans="1:8" x14ac:dyDescent="0.2">
      <c r="A49" s="52">
        <v>54203</v>
      </c>
      <c r="B49" s="147" t="s">
        <v>32</v>
      </c>
      <c r="C49" s="148">
        <v>148490</v>
      </c>
      <c r="D49" s="148">
        <v>2916.91</v>
      </c>
      <c r="E49" s="138">
        <f t="shared" si="4"/>
        <v>151406.91</v>
      </c>
      <c r="F49" s="138">
        <v>95668.86</v>
      </c>
      <c r="G49" s="138">
        <v>0</v>
      </c>
      <c r="H49" s="149">
        <f t="shared" si="0"/>
        <v>55738.05</v>
      </c>
    </row>
    <row r="50" spans="1:8" x14ac:dyDescent="0.2">
      <c r="A50" s="8">
        <v>54204</v>
      </c>
      <c r="B50" s="24" t="s">
        <v>33</v>
      </c>
      <c r="C50" s="108">
        <v>1200</v>
      </c>
      <c r="D50" s="108"/>
      <c r="E50" s="138">
        <f t="shared" si="4"/>
        <v>1200</v>
      </c>
      <c r="F50" s="138">
        <v>63.31</v>
      </c>
      <c r="G50" s="138">
        <v>0</v>
      </c>
      <c r="H50" s="156">
        <f t="shared" si="0"/>
        <v>1136.69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-43.0600000000004</v>
      </c>
      <c r="E51" s="30">
        <f>SUM(E47:E50)</f>
        <v>371081.94</v>
      </c>
      <c r="F51" s="30">
        <f>SUM(F47:F50)</f>
        <v>172334.78999999998</v>
      </c>
      <c r="G51" s="30">
        <f>SUM(G47:G50)</f>
        <v>0</v>
      </c>
      <c r="H51" s="157">
        <f t="shared" si="0"/>
        <v>198747.15000000002</v>
      </c>
    </row>
    <row r="52" spans="1:8" x14ac:dyDescent="0.2">
      <c r="A52" s="8">
        <v>54301</v>
      </c>
      <c r="B52" s="24" t="s">
        <v>34</v>
      </c>
      <c r="C52" s="108">
        <v>30560</v>
      </c>
      <c r="D52" s="108">
        <v>-4283.3999999999996</v>
      </c>
      <c r="E52" s="138">
        <f t="shared" ref="E52:E63" si="5">+C52+D52</f>
        <v>26276.6</v>
      </c>
      <c r="F52" s="138">
        <v>6761.37</v>
      </c>
      <c r="G52" s="138">
        <v>0</v>
      </c>
      <c r="H52" s="156">
        <f t="shared" si="0"/>
        <v>19515.23</v>
      </c>
    </row>
    <row r="53" spans="1:8" x14ac:dyDescent="0.2">
      <c r="A53" s="136">
        <v>54302</v>
      </c>
      <c r="B53" s="137" t="s">
        <v>35</v>
      </c>
      <c r="C53" s="138">
        <v>63000</v>
      </c>
      <c r="D53" s="138">
        <v>33.9</v>
      </c>
      <c r="E53" s="138">
        <f t="shared" si="5"/>
        <v>63033.9</v>
      </c>
      <c r="F53" s="138">
        <v>30425.81</v>
      </c>
      <c r="G53" s="138">
        <v>0</v>
      </c>
      <c r="H53" s="139">
        <f t="shared" si="0"/>
        <v>32608.09</v>
      </c>
    </row>
    <row r="54" spans="1:8" x14ac:dyDescent="0.2">
      <c r="A54" s="8">
        <v>54304</v>
      </c>
      <c r="B54" s="24" t="s">
        <v>36</v>
      </c>
      <c r="C54" s="108">
        <v>4000</v>
      </c>
      <c r="D54" s="108"/>
      <c r="E54" s="138">
        <f t="shared" si="5"/>
        <v>4000</v>
      </c>
      <c r="F54" s="138"/>
      <c r="G54" s="138">
        <v>0</v>
      </c>
      <c r="H54" s="156">
        <f t="shared" si="0"/>
        <v>4000</v>
      </c>
    </row>
    <row r="55" spans="1:8" x14ac:dyDescent="0.2">
      <c r="A55" s="8">
        <v>54305</v>
      </c>
      <c r="B55" s="24" t="s">
        <v>37</v>
      </c>
      <c r="C55" s="108">
        <v>84200</v>
      </c>
      <c r="D55" s="108">
        <v>-20904.09</v>
      </c>
      <c r="E55" s="138">
        <f t="shared" si="5"/>
        <v>63295.91</v>
      </c>
      <c r="F55" s="138">
        <v>388.08</v>
      </c>
      <c r="G55" s="138">
        <v>0</v>
      </c>
      <c r="H55" s="156">
        <f t="shared" si="0"/>
        <v>62907.83</v>
      </c>
    </row>
    <row r="56" spans="1:8" x14ac:dyDescent="0.2">
      <c r="A56" s="8">
        <v>54306</v>
      </c>
      <c r="B56" s="24" t="s">
        <v>78</v>
      </c>
      <c r="C56" s="108">
        <v>0</v>
      </c>
      <c r="D56" s="108">
        <v>4283.3999999999996</v>
      </c>
      <c r="E56" s="138">
        <f t="shared" si="5"/>
        <v>4283.3999999999996</v>
      </c>
      <c r="F56" s="138">
        <v>4283.3999999999996</v>
      </c>
      <c r="G56" s="138">
        <v>0</v>
      </c>
      <c r="H56" s="156">
        <f t="shared" si="0"/>
        <v>0</v>
      </c>
    </row>
    <row r="57" spans="1:8" x14ac:dyDescent="0.2">
      <c r="A57" s="8">
        <v>54307</v>
      </c>
      <c r="B57" s="24" t="s">
        <v>38</v>
      </c>
      <c r="C57" s="108">
        <v>6400</v>
      </c>
      <c r="D57" s="108"/>
      <c r="E57" s="138">
        <f t="shared" si="5"/>
        <v>6400</v>
      </c>
      <c r="F57" s="138">
        <v>6159.36</v>
      </c>
      <c r="G57" s="138">
        <v>0</v>
      </c>
      <c r="H57" s="156">
        <f t="shared" si="0"/>
        <v>240.64000000000033</v>
      </c>
    </row>
    <row r="58" spans="1:8" x14ac:dyDescent="0.2">
      <c r="A58" s="8">
        <v>54308</v>
      </c>
      <c r="B58" s="24" t="s">
        <v>79</v>
      </c>
      <c r="C58" s="108">
        <v>2500</v>
      </c>
      <c r="D58" s="108"/>
      <c r="E58" s="138">
        <f t="shared" si="5"/>
        <v>2500</v>
      </c>
      <c r="F58" s="138">
        <v>1873.2</v>
      </c>
      <c r="G58" s="138"/>
      <c r="H58" s="156">
        <f t="shared" si="0"/>
        <v>626.79999999999995</v>
      </c>
    </row>
    <row r="59" spans="1:8" x14ac:dyDescent="0.2">
      <c r="A59" s="8">
        <v>54313</v>
      </c>
      <c r="B59" s="24" t="s">
        <v>39</v>
      </c>
      <c r="C59" s="108">
        <v>24400</v>
      </c>
      <c r="D59" s="108">
        <v>-2600</v>
      </c>
      <c r="E59" s="138">
        <f t="shared" si="5"/>
        <v>21800</v>
      </c>
      <c r="F59" s="138">
        <v>802.3</v>
      </c>
      <c r="G59" s="138">
        <v>0</v>
      </c>
      <c r="H59" s="156">
        <f t="shared" si="0"/>
        <v>20997.7</v>
      </c>
    </row>
    <row r="60" spans="1:8" x14ac:dyDescent="0.2">
      <c r="A60" s="8">
        <v>54314</v>
      </c>
      <c r="B60" s="24" t="s">
        <v>52</v>
      </c>
      <c r="C60" s="108">
        <v>28100</v>
      </c>
      <c r="D60" s="108">
        <v>10816.4</v>
      </c>
      <c r="E60" s="138">
        <f t="shared" si="5"/>
        <v>38916.400000000001</v>
      </c>
      <c r="F60" s="138">
        <v>8394.5</v>
      </c>
      <c r="G60" s="138">
        <v>40</v>
      </c>
      <c r="H60" s="156">
        <f t="shared" si="0"/>
        <v>30481.9</v>
      </c>
    </row>
    <row r="61" spans="1:8" x14ac:dyDescent="0.2">
      <c r="A61" s="8">
        <v>54316</v>
      </c>
      <c r="B61" s="24" t="s">
        <v>40</v>
      </c>
      <c r="C61" s="108">
        <v>24000</v>
      </c>
      <c r="D61" s="108">
        <v>319.39</v>
      </c>
      <c r="E61" s="138">
        <f t="shared" si="5"/>
        <v>24319.39</v>
      </c>
      <c r="F61" s="138">
        <v>24233.360000000001</v>
      </c>
      <c r="G61" s="138">
        <v>0</v>
      </c>
      <c r="H61" s="156">
        <f t="shared" si="0"/>
        <v>86.029999999998836</v>
      </c>
    </row>
    <row r="62" spans="1:8" x14ac:dyDescent="0.2">
      <c r="A62" s="8">
        <v>54317</v>
      </c>
      <c r="B62" s="24" t="s">
        <v>41</v>
      </c>
      <c r="C62" s="108">
        <v>584880</v>
      </c>
      <c r="D62" s="108">
        <v>128</v>
      </c>
      <c r="E62" s="138">
        <f t="shared" si="5"/>
        <v>585008</v>
      </c>
      <c r="F62" s="138">
        <v>585000.92000000004</v>
      </c>
      <c r="G62" s="138">
        <v>0</v>
      </c>
      <c r="H62" s="156">
        <f t="shared" si="0"/>
        <v>7.0799999999580905</v>
      </c>
    </row>
    <row r="63" spans="1:8" x14ac:dyDescent="0.2">
      <c r="A63" s="8">
        <v>54399</v>
      </c>
      <c r="B63" s="24" t="s">
        <v>42</v>
      </c>
      <c r="C63" s="108">
        <v>47080</v>
      </c>
      <c r="D63" s="108">
        <v>-2471.6999999999998</v>
      </c>
      <c r="E63" s="138">
        <f t="shared" si="5"/>
        <v>44608.3</v>
      </c>
      <c r="F63" s="138">
        <v>37706.879999999997</v>
      </c>
      <c r="G63" s="138">
        <v>0</v>
      </c>
      <c r="H63" s="156">
        <f t="shared" si="0"/>
        <v>6901.4200000000055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-14678.100000000002</v>
      </c>
      <c r="E64" s="30">
        <f>SUM(E52:E63)</f>
        <v>884441.9</v>
      </c>
      <c r="F64" s="30">
        <f>SUM(F52:F63)</f>
        <v>706029.18</v>
      </c>
      <c r="G64" s="30">
        <f>SUM(G52:G63)</f>
        <v>40</v>
      </c>
      <c r="H64" s="157">
        <f t="shared" si="0"/>
        <v>178372.71999999997</v>
      </c>
    </row>
    <row r="65" spans="1:9" x14ac:dyDescent="0.2">
      <c r="A65" s="8">
        <v>54402</v>
      </c>
      <c r="B65" s="24" t="s">
        <v>43</v>
      </c>
      <c r="C65" s="108">
        <v>8000</v>
      </c>
      <c r="D65" s="108">
        <v>8246.59</v>
      </c>
      <c r="E65" s="138">
        <f t="shared" ref="E65:E67" si="6">+C65+D65</f>
        <v>16246.59</v>
      </c>
      <c r="F65" s="138">
        <v>12246.59</v>
      </c>
      <c r="G65" s="108">
        <v>0</v>
      </c>
      <c r="H65" s="156">
        <f t="shared" si="0"/>
        <v>4000</v>
      </c>
    </row>
    <row r="66" spans="1:9" x14ac:dyDescent="0.2">
      <c r="A66" s="8">
        <v>54403</v>
      </c>
      <c r="B66" s="24" t="s">
        <v>44</v>
      </c>
      <c r="C66" s="108">
        <v>11460</v>
      </c>
      <c r="D66" s="108">
        <v>3</v>
      </c>
      <c r="E66" s="138">
        <f t="shared" si="6"/>
        <v>11463</v>
      </c>
      <c r="F66" s="138">
        <v>2946</v>
      </c>
      <c r="G66" s="138">
        <v>0</v>
      </c>
      <c r="H66" s="156">
        <f t="shared" si="0"/>
        <v>8517</v>
      </c>
    </row>
    <row r="67" spans="1:9" x14ac:dyDescent="0.2">
      <c r="A67" s="8">
        <v>54404</v>
      </c>
      <c r="B67" s="24" t="s">
        <v>45</v>
      </c>
      <c r="C67" s="108">
        <v>20000</v>
      </c>
      <c r="D67" s="108">
        <v>9305</v>
      </c>
      <c r="E67" s="138">
        <f t="shared" si="6"/>
        <v>29305</v>
      </c>
      <c r="F67" s="138">
        <v>19135</v>
      </c>
      <c r="G67" s="138">
        <v>0</v>
      </c>
      <c r="H67" s="156">
        <f t="shared" si="0"/>
        <v>10170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17554.59</v>
      </c>
      <c r="E68" s="30">
        <f>SUM(E65:E67)</f>
        <v>57014.59</v>
      </c>
      <c r="F68" s="30">
        <f>SUM(F65:F67)</f>
        <v>34327.589999999997</v>
      </c>
      <c r="G68" s="30">
        <f>SUM(G65:G67)</f>
        <v>0</v>
      </c>
      <c r="H68" s="157">
        <f t="shared" si="0"/>
        <v>22687</v>
      </c>
    </row>
    <row r="69" spans="1:9" x14ac:dyDescent="0.2">
      <c r="A69" s="8">
        <v>54505</v>
      </c>
      <c r="B69" s="24" t="s">
        <v>46</v>
      </c>
      <c r="C69" s="108">
        <v>2000</v>
      </c>
      <c r="D69" s="108">
        <v>1362.97</v>
      </c>
      <c r="E69" s="138">
        <f t="shared" ref="E69:E70" si="7">+C69+D69</f>
        <v>3362.9700000000003</v>
      </c>
      <c r="F69" s="138">
        <v>3362.97</v>
      </c>
      <c r="G69" s="138">
        <v>0</v>
      </c>
      <c r="H69" s="156">
        <f t="shared" si="0"/>
        <v>4.5474735088646412E-13</v>
      </c>
    </row>
    <row r="70" spans="1:9" x14ac:dyDescent="0.2">
      <c r="A70" s="8">
        <v>54599</v>
      </c>
      <c r="B70" s="24" t="s">
        <v>66</v>
      </c>
      <c r="C70" s="108">
        <v>36000</v>
      </c>
      <c r="D70" s="108">
        <v>-9772.7000000000007</v>
      </c>
      <c r="E70" s="138">
        <f t="shared" si="7"/>
        <v>26227.3</v>
      </c>
      <c r="F70" s="138">
        <v>0</v>
      </c>
      <c r="G70" s="138">
        <v>0</v>
      </c>
      <c r="H70" s="156">
        <f t="shared" si="0"/>
        <v>26227.3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-8409.7300000000014</v>
      </c>
      <c r="E71" s="30">
        <f>SUM(E69:E70)</f>
        <v>29590.27</v>
      </c>
      <c r="F71" s="30">
        <f>SUM(F69:F70)</f>
        <v>3362.97</v>
      </c>
      <c r="G71" s="30">
        <f>SUM(G69:G70)</f>
        <v>0</v>
      </c>
      <c r="H71" s="156">
        <f t="shared" si="0"/>
        <v>26227.3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141">
        <f>+E71+E68+E64+E51+E43</f>
        <v>2051254</v>
      </c>
      <c r="F72" s="142">
        <f>+F71+F68+F64+F51+F43</f>
        <v>1497773.75</v>
      </c>
      <c r="G72" s="158">
        <f>+G71+G68+G64+G51+G43</f>
        <v>448.64</v>
      </c>
      <c r="H72" s="159">
        <f t="shared" si="0"/>
        <v>553031.61</v>
      </c>
    </row>
    <row r="73" spans="1:9" x14ac:dyDescent="0.2">
      <c r="A73" s="8">
        <v>55599</v>
      </c>
      <c r="B73" s="24" t="s">
        <v>47</v>
      </c>
      <c r="C73" s="108">
        <v>3400</v>
      </c>
      <c r="D73" s="108">
        <v>4.9800000000000004</v>
      </c>
      <c r="E73" s="138">
        <f>+C73+D73</f>
        <v>3404.98</v>
      </c>
      <c r="F73" s="138">
        <v>3404.98</v>
      </c>
      <c r="G73" s="138">
        <v>0</v>
      </c>
      <c r="H73" s="156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56">
        <f t="shared" si="8"/>
        <v>0</v>
      </c>
    </row>
    <row r="75" spans="1:9" x14ac:dyDescent="0.2">
      <c r="A75" s="8">
        <v>55601</v>
      </c>
      <c r="B75" s="24" t="s">
        <v>48</v>
      </c>
      <c r="C75" s="108">
        <f>47000+100000</f>
        <v>147000</v>
      </c>
      <c r="D75" s="108">
        <v>-4263.3599999999997</v>
      </c>
      <c r="E75" s="138">
        <f t="shared" ref="E75:E77" si="9">+C75+D75</f>
        <v>142736.64000000001</v>
      </c>
      <c r="F75" s="138">
        <v>35284.28</v>
      </c>
      <c r="G75" s="138">
        <v>0</v>
      </c>
      <c r="H75" s="156">
        <f t="shared" si="8"/>
        <v>107452.36000000002</v>
      </c>
    </row>
    <row r="76" spans="1:9" x14ac:dyDescent="0.2">
      <c r="A76" s="8">
        <v>55602</v>
      </c>
      <c r="B76" s="24" t="s">
        <v>49</v>
      </c>
      <c r="C76" s="108">
        <v>48000</v>
      </c>
      <c r="D76" s="108">
        <v>0</v>
      </c>
      <c r="E76" s="138">
        <f t="shared" si="9"/>
        <v>48000</v>
      </c>
      <c r="F76" s="138">
        <v>39004.99</v>
      </c>
      <c r="G76" s="138">
        <v>0</v>
      </c>
      <c r="H76" s="156">
        <f t="shared" si="8"/>
        <v>8995.010000000002</v>
      </c>
    </row>
    <row r="77" spans="1:9" x14ac:dyDescent="0.2">
      <c r="A77" s="8">
        <v>55603</v>
      </c>
      <c r="B77" s="24" t="s">
        <v>72</v>
      </c>
      <c r="C77" s="108">
        <v>25</v>
      </c>
      <c r="D77" s="108">
        <v>0</v>
      </c>
      <c r="E77" s="138">
        <f t="shared" si="9"/>
        <v>25</v>
      </c>
      <c r="F77" s="138">
        <v>25</v>
      </c>
      <c r="G77" s="108">
        <v>0</v>
      </c>
      <c r="H77" s="156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-4263.3599999999997</v>
      </c>
      <c r="E78" s="30">
        <f>SUM(E75:E77)</f>
        <v>190761.64</v>
      </c>
      <c r="F78" s="30">
        <f>SUM(F75:F77)</f>
        <v>74314.26999999999</v>
      </c>
      <c r="G78" s="30">
        <f>SUM(G75:G77)</f>
        <v>0</v>
      </c>
      <c r="H78" s="157">
        <f>+E78-F78-G78</f>
        <v>116447.37000000002</v>
      </c>
      <c r="I78" s="160"/>
    </row>
    <row r="79" spans="1:9" x14ac:dyDescent="0.2">
      <c r="A79" s="8">
        <v>55703</v>
      </c>
      <c r="B79" s="24" t="s">
        <v>86</v>
      </c>
      <c r="C79" s="108">
        <v>0</v>
      </c>
      <c r="D79" s="108">
        <v>4258.38</v>
      </c>
      <c r="E79" s="138">
        <f t="shared" ref="E79" si="10">+C79+D79</f>
        <v>4258.38</v>
      </c>
      <c r="F79" s="138">
        <v>4258.38</v>
      </c>
      <c r="G79" s="108">
        <v>0</v>
      </c>
      <c r="H79" s="156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56">
        <f t="shared" si="11"/>
        <v>0</v>
      </c>
      <c r="I80" s="160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0</v>
      </c>
      <c r="E81" s="141">
        <f t="shared" si="12"/>
        <v>198425.00000000003</v>
      </c>
      <c r="F81" s="142">
        <f>+F74+F78+F80</f>
        <v>81977.62999999999</v>
      </c>
      <c r="G81" s="158">
        <f>+G74+G78</f>
        <v>0</v>
      </c>
      <c r="H81" s="159">
        <f>+E81-F81-G81</f>
        <v>116447.37000000004</v>
      </c>
      <c r="I81" s="160"/>
    </row>
    <row r="82" spans="1:9" x14ac:dyDescent="0.2">
      <c r="A82" s="8">
        <v>56303</v>
      </c>
      <c r="B82" s="24" t="s">
        <v>68</v>
      </c>
      <c r="C82" s="108">
        <v>4000</v>
      </c>
      <c r="D82" s="108"/>
      <c r="E82" s="138">
        <f t="shared" ref="E82:E83" si="13">+C82+D82</f>
        <v>4000</v>
      </c>
      <c r="F82" s="138"/>
      <c r="G82" s="108">
        <v>0</v>
      </c>
      <c r="H82" s="156">
        <f t="shared" si="8"/>
        <v>4000</v>
      </c>
      <c r="I82" s="160"/>
    </row>
    <row r="83" spans="1:9" x14ac:dyDescent="0.2">
      <c r="A83" s="8">
        <v>56304</v>
      </c>
      <c r="B83" s="24" t="s">
        <v>76</v>
      </c>
      <c r="C83" s="108">
        <v>0</v>
      </c>
      <c r="D83" s="108">
        <v>0</v>
      </c>
      <c r="E83" s="138">
        <f t="shared" si="13"/>
        <v>0</v>
      </c>
      <c r="F83" s="138">
        <v>0</v>
      </c>
      <c r="G83" s="108">
        <v>0</v>
      </c>
      <c r="H83" s="156">
        <f t="shared" si="8"/>
        <v>0</v>
      </c>
      <c r="I83" s="160"/>
    </row>
    <row r="84" spans="1:9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0</v>
      </c>
      <c r="H84" s="157">
        <f t="shared" si="8"/>
        <v>4000</v>
      </c>
      <c r="I84" s="160"/>
    </row>
    <row r="85" spans="1:9" x14ac:dyDescent="0.2">
      <c r="A85" s="8">
        <v>56404</v>
      </c>
      <c r="B85" s="24" t="s">
        <v>73</v>
      </c>
      <c r="C85" s="108">
        <v>5500</v>
      </c>
      <c r="D85" s="108"/>
      <c r="E85" s="138">
        <f>+C85+D85</f>
        <v>5500</v>
      </c>
      <c r="F85" s="138">
        <v>5500</v>
      </c>
      <c r="G85" s="108">
        <v>0</v>
      </c>
      <c r="H85" s="156">
        <f t="shared" si="8"/>
        <v>0</v>
      </c>
      <c r="I85" s="160"/>
    </row>
    <row r="86" spans="1:9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5500</v>
      </c>
      <c r="G86" s="51">
        <f>SUM(G85)</f>
        <v>0</v>
      </c>
      <c r="H86" s="161">
        <f t="shared" si="8"/>
        <v>0</v>
      </c>
      <c r="I86" s="160"/>
    </row>
    <row r="87" spans="1:9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162">
        <f t="shared" si="14"/>
        <v>9500</v>
      </c>
      <c r="F87" s="163">
        <f t="shared" si="14"/>
        <v>5500</v>
      </c>
      <c r="G87" s="164">
        <f t="shared" si="14"/>
        <v>0</v>
      </c>
      <c r="H87" s="165">
        <f t="shared" si="14"/>
        <v>4000</v>
      </c>
      <c r="I87" s="160"/>
    </row>
    <row r="88" spans="1:9" x14ac:dyDescent="0.2">
      <c r="A88" s="37"/>
      <c r="B88" s="37"/>
      <c r="C88" s="34"/>
      <c r="D88" s="34"/>
      <c r="E88" s="34"/>
      <c r="F88" s="34"/>
      <c r="G88" s="34"/>
      <c r="H88" s="34"/>
      <c r="I88" s="160"/>
    </row>
    <row r="89" spans="1:9" x14ac:dyDescent="0.2">
      <c r="A89" s="37"/>
      <c r="B89" s="37"/>
      <c r="C89" s="34"/>
      <c r="D89" s="34"/>
      <c r="E89" s="34"/>
      <c r="F89" s="34"/>
      <c r="G89" s="34"/>
      <c r="H89" s="34"/>
      <c r="I89" s="160"/>
    </row>
    <row r="90" spans="1:9" ht="13.5" thickBot="1" x14ac:dyDescent="0.25">
      <c r="A90" s="37"/>
      <c r="B90" s="37"/>
      <c r="C90" s="34"/>
      <c r="D90" s="34"/>
      <c r="E90" s="34"/>
      <c r="F90" s="34"/>
      <c r="G90" s="34"/>
      <c r="H90" s="34"/>
      <c r="I90" s="160"/>
    </row>
    <row r="91" spans="1:9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151" t="s">
        <v>59</v>
      </c>
      <c r="F91" s="152" t="s">
        <v>53</v>
      </c>
      <c r="G91" s="153" t="s">
        <v>69</v>
      </c>
      <c r="H91" s="154" t="s">
        <v>54</v>
      </c>
      <c r="I91" s="160"/>
    </row>
    <row r="92" spans="1:9" s="167" customFormat="1" x14ac:dyDescent="0.2">
      <c r="A92" s="57">
        <v>61101</v>
      </c>
      <c r="B92" s="58" t="s">
        <v>57</v>
      </c>
      <c r="C92" s="117">
        <v>5000</v>
      </c>
      <c r="D92" s="117">
        <v>-403.5</v>
      </c>
      <c r="E92" s="117">
        <f t="shared" ref="E92:E96" si="15">+C92+D92</f>
        <v>4596.5</v>
      </c>
      <c r="F92" s="117">
        <v>0</v>
      </c>
      <c r="G92" s="117">
        <v>0</v>
      </c>
      <c r="H92" s="155">
        <f t="shared" si="8"/>
        <v>4596.5</v>
      </c>
      <c r="I92" s="166"/>
    </row>
    <row r="93" spans="1:9" s="167" customFormat="1" x14ac:dyDescent="0.2">
      <c r="A93" s="8">
        <v>61102</v>
      </c>
      <c r="B93" s="24" t="s">
        <v>64</v>
      </c>
      <c r="C93" s="108">
        <v>15000</v>
      </c>
      <c r="D93" s="108">
        <v>-7896.47</v>
      </c>
      <c r="E93" s="138">
        <f t="shared" si="15"/>
        <v>7103.53</v>
      </c>
      <c r="F93" s="138">
        <v>2800</v>
      </c>
      <c r="G93" s="108">
        <v>0</v>
      </c>
      <c r="H93" s="156">
        <f t="shared" si="8"/>
        <v>4303.53</v>
      </c>
      <c r="I93" s="166"/>
    </row>
    <row r="94" spans="1:9" s="167" customFormat="1" x14ac:dyDescent="0.2">
      <c r="A94" s="8">
        <v>61103</v>
      </c>
      <c r="B94" s="24" t="s">
        <v>65</v>
      </c>
      <c r="C94" s="108">
        <v>500</v>
      </c>
      <c r="D94" s="108"/>
      <c r="E94" s="138">
        <f t="shared" si="15"/>
        <v>500</v>
      </c>
      <c r="F94" s="138">
        <v>0</v>
      </c>
      <c r="G94" s="108">
        <v>0</v>
      </c>
      <c r="H94" s="156">
        <f t="shared" si="8"/>
        <v>500</v>
      </c>
      <c r="I94" s="166"/>
    </row>
    <row r="95" spans="1:9" s="167" customFormat="1" x14ac:dyDescent="0.2">
      <c r="A95" s="8">
        <v>61104</v>
      </c>
      <c r="B95" s="24" t="s">
        <v>60</v>
      </c>
      <c r="C95" s="108">
        <v>15055</v>
      </c>
      <c r="D95" s="108">
        <v>40748.92</v>
      </c>
      <c r="E95" s="138">
        <f t="shared" si="15"/>
        <v>55803.92</v>
      </c>
      <c r="F95" s="138">
        <v>55803.92</v>
      </c>
      <c r="G95" s="108">
        <v>0</v>
      </c>
      <c r="H95" s="156">
        <f t="shared" si="8"/>
        <v>0</v>
      </c>
      <c r="I95" s="166"/>
    </row>
    <row r="96" spans="1:9" x14ac:dyDescent="0.2">
      <c r="A96" s="8">
        <v>61108</v>
      </c>
      <c r="B96" s="24" t="s">
        <v>27</v>
      </c>
      <c r="C96" s="108">
        <v>1000</v>
      </c>
      <c r="D96" s="108">
        <v>403.5</v>
      </c>
      <c r="E96" s="138">
        <f t="shared" si="15"/>
        <v>1403.5</v>
      </c>
      <c r="F96" s="138">
        <v>0</v>
      </c>
      <c r="G96" s="108">
        <v>0</v>
      </c>
      <c r="H96" s="156">
        <f t="shared" si="8"/>
        <v>1403.5</v>
      </c>
      <c r="I96" s="160"/>
    </row>
    <row r="97" spans="1:11" x14ac:dyDescent="0.2">
      <c r="A97" s="8"/>
      <c r="B97" s="29" t="s">
        <v>56</v>
      </c>
      <c r="C97" s="30">
        <f>SUM(C92:C96)</f>
        <v>36555</v>
      </c>
      <c r="D97" s="30">
        <f>SUM(D92:D96)</f>
        <v>32852.449999999997</v>
      </c>
      <c r="E97" s="30">
        <f>SUM(E92:E96)</f>
        <v>69407.45</v>
      </c>
      <c r="F97" s="30">
        <f>SUM(F92:F96)</f>
        <v>58603.92</v>
      </c>
      <c r="G97" s="30">
        <f>SUM(G96)</f>
        <v>0</v>
      </c>
      <c r="H97" s="157">
        <f t="shared" si="8"/>
        <v>10803.529999999999</v>
      </c>
      <c r="I97" s="160"/>
    </row>
    <row r="98" spans="1:11" x14ac:dyDescent="0.2">
      <c r="A98" s="8">
        <v>61403</v>
      </c>
      <c r="B98" s="24" t="s">
        <v>82</v>
      </c>
      <c r="C98" s="108">
        <v>0</v>
      </c>
      <c r="D98" s="108">
        <v>6896.43</v>
      </c>
      <c r="E98" s="138">
        <f>+C98+D98</f>
        <v>6896.43</v>
      </c>
      <c r="F98" s="108">
        <v>6896.43</v>
      </c>
      <c r="G98" s="108">
        <v>0</v>
      </c>
      <c r="H98" s="156">
        <f t="shared" si="8"/>
        <v>0</v>
      </c>
      <c r="I98" s="160"/>
    </row>
    <row r="99" spans="1:11" ht="13.5" thickBot="1" x14ac:dyDescent="0.25">
      <c r="A99" s="71"/>
      <c r="B99" s="72" t="s">
        <v>56</v>
      </c>
      <c r="C99" s="73">
        <f>+C98</f>
        <v>0</v>
      </c>
      <c r="D99" s="73">
        <f>+D98</f>
        <v>6896.43</v>
      </c>
      <c r="E99" s="73">
        <f>+E98</f>
        <v>6896.43</v>
      </c>
      <c r="F99" s="73">
        <f>+F98</f>
        <v>6896.43</v>
      </c>
      <c r="G99" s="73">
        <f>SUM(G98)</f>
        <v>0</v>
      </c>
      <c r="H99" s="168">
        <f t="shared" si="8"/>
        <v>0</v>
      </c>
      <c r="I99" s="160"/>
    </row>
    <row r="100" spans="1:1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39748.879999999997</v>
      </c>
      <c r="E100" s="169">
        <f>+E99+E97</f>
        <v>76303.88</v>
      </c>
      <c r="F100" s="170">
        <f>+F99+F97</f>
        <v>65500.35</v>
      </c>
      <c r="G100" s="171">
        <v>0</v>
      </c>
      <c r="H100" s="172">
        <f>+H99+H97</f>
        <v>10803.529999999999</v>
      </c>
      <c r="I100" s="160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173">
        <f>+E24+E72+E81+E100+E87</f>
        <v>10187404.000000002</v>
      </c>
      <c r="F101" s="174">
        <f>+F24+F72+F81+F100+F87</f>
        <v>4481300.5199999996</v>
      </c>
      <c r="G101" s="175">
        <f>+G24+G72+G81+G100+G87</f>
        <v>98753.450000000012</v>
      </c>
      <c r="H101" s="176">
        <f>+E101-F101-G101</f>
        <v>5607350.0300000021</v>
      </c>
      <c r="I101" s="160"/>
      <c r="K101" s="160"/>
    </row>
    <row r="102" spans="1:11" x14ac:dyDescent="0.2">
      <c r="C102" s="177"/>
      <c r="D102" s="177"/>
      <c r="E102" s="177"/>
      <c r="F102" s="177"/>
      <c r="G102" s="177"/>
      <c r="H102" s="160"/>
      <c r="I102" s="160"/>
    </row>
    <row r="103" spans="1:11" x14ac:dyDescent="0.2">
      <c r="C103" s="177"/>
      <c r="D103" s="177"/>
      <c r="E103" s="177"/>
      <c r="F103" s="177"/>
      <c r="G103" s="177"/>
      <c r="H103" s="160"/>
      <c r="I103" s="160"/>
    </row>
    <row r="104" spans="1:11" x14ac:dyDescent="0.2">
      <c r="C104" s="177"/>
      <c r="D104" s="177"/>
      <c r="E104" s="177"/>
      <c r="F104" s="177"/>
      <c r="H104" s="160"/>
      <c r="I104" s="160"/>
    </row>
    <row r="105" spans="1:11" x14ac:dyDescent="0.2">
      <c r="C105" s="177"/>
      <c r="D105" s="177"/>
      <c r="E105" s="177"/>
      <c r="F105" s="177"/>
      <c r="H105" s="160"/>
      <c r="I105" s="160"/>
    </row>
    <row r="106" spans="1:11" x14ac:dyDescent="0.2">
      <c r="C106" s="177"/>
      <c r="D106" s="177"/>
      <c r="E106" s="177"/>
      <c r="F106" s="177"/>
      <c r="H106" s="160"/>
      <c r="I106" s="160"/>
    </row>
    <row r="107" spans="1:11" x14ac:dyDescent="0.2">
      <c r="C107" s="177"/>
      <c r="D107" s="177"/>
      <c r="E107" s="177"/>
      <c r="F107" s="177"/>
      <c r="G107" s="177"/>
      <c r="H107" s="160"/>
      <c r="I107" s="160"/>
    </row>
    <row r="108" spans="1:11" x14ac:dyDescent="0.2">
      <c r="C108" s="177"/>
      <c r="D108" s="177"/>
      <c r="E108" s="177"/>
      <c r="F108" s="177"/>
      <c r="G108" s="177"/>
      <c r="H108" s="160"/>
      <c r="I108" s="160"/>
    </row>
    <row r="109" spans="1:11" x14ac:dyDescent="0.2">
      <c r="C109" s="177"/>
      <c r="D109" s="177"/>
      <c r="E109" s="177"/>
      <c r="F109" s="177"/>
      <c r="G109" s="177"/>
      <c r="J109" s="160"/>
    </row>
    <row r="110" spans="1:11" x14ac:dyDescent="0.2">
      <c r="C110" s="177"/>
      <c r="D110" s="177"/>
      <c r="E110" s="177"/>
      <c r="F110" s="177"/>
      <c r="G110" s="177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MAY-19&amp;R&amp;P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6" workbookViewId="0">
      <selection activeCell="D112" sqref="D112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25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25"/>
      <c r="H3" s="17"/>
      <c r="I3" s="16"/>
    </row>
    <row r="4" spans="1:9" ht="14.25" x14ac:dyDescent="0.2">
      <c r="A4" s="17"/>
      <c r="B4" s="125"/>
      <c r="C4" s="125"/>
      <c r="D4" s="125"/>
      <c r="E4" s="125"/>
      <c r="F4" s="125"/>
      <c r="G4" s="125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24"/>
      <c r="B6" s="190" t="s">
        <v>87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2371139.5</v>
      </c>
      <c r="G9" s="106">
        <f>76732.5-21086.74</f>
        <v>55645.759999999995</v>
      </c>
      <c r="H9" s="107">
        <f t="shared" ref="H9:H72" si="0">+E9-F9-G9</f>
        <v>2439291.9000000004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0</v>
      </c>
      <c r="H11" s="107">
        <f t="shared" si="0"/>
        <v>395900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549085.97</v>
      </c>
      <c r="G12" s="106">
        <f>30142.23-8931.95</f>
        <v>21210.28</v>
      </c>
      <c r="H12" s="107">
        <f t="shared" si="0"/>
        <v>588207.16999999993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0</v>
      </c>
      <c r="H14" s="107">
        <f t="shared" si="0"/>
        <v>81600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142320.38</v>
      </c>
      <c r="G15" s="106">
        <f>19715.7-4357.94</f>
        <v>15357.760000000002</v>
      </c>
      <c r="H15" s="107">
        <f t="shared" si="0"/>
        <v>161472.74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30460.75</v>
      </c>
      <c r="G16" s="106">
        <f>2035.2-449.18</f>
        <v>1586.02</v>
      </c>
      <c r="H16" s="107">
        <f t="shared" si="0"/>
        <v>33210.94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158826.09</v>
      </c>
      <c r="G17" s="106">
        <f>23692.42-4129.23</f>
        <v>19563.189999999999</v>
      </c>
      <c r="H17" s="107">
        <f t="shared" si="0"/>
        <v>181862.63999999998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40504.839999999997</v>
      </c>
      <c r="G18" s="106">
        <f>4448.51-793.84</f>
        <v>3654.67</v>
      </c>
      <c r="H18" s="107">
        <f t="shared" si="0"/>
        <v>45667.62000000001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22283.29</v>
      </c>
      <c r="G19" s="106">
        <v>1031.27</v>
      </c>
      <c r="H19" s="107">
        <f t="shared" si="0"/>
        <v>23310.44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40519.629999999997</v>
      </c>
      <c r="G22" s="106">
        <f>4537.79</f>
        <v>4537.79</v>
      </c>
      <c r="H22" s="107">
        <f t="shared" si="0"/>
        <v>26392.58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3530200.5199999991</v>
      </c>
      <c r="G24" s="92">
        <f t="shared" si="2"/>
        <v>122591.66999999998</v>
      </c>
      <c r="H24" s="95">
        <f t="shared" si="2"/>
        <v>4199128.9300000006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2868.71</v>
      </c>
      <c r="E25" s="106">
        <f t="shared" ref="E25:E42" si="3">+C25+D25</f>
        <v>70898.710000000006</v>
      </c>
      <c r="F25" s="106">
        <v>58555.199999999997</v>
      </c>
      <c r="G25" s="106">
        <v>207.5</v>
      </c>
      <c r="H25" s="107">
        <f t="shared" si="0"/>
        <v>12136.010000000009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-351.67</v>
      </c>
      <c r="E26" s="106">
        <f t="shared" si="3"/>
        <v>648.32999999999993</v>
      </c>
      <c r="F26" s="106">
        <v>148.33000000000001</v>
      </c>
      <c r="G26" s="106">
        <v>0</v>
      </c>
      <c r="H26" s="107">
        <f t="shared" si="0"/>
        <v>499.99999999999989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2976.14</v>
      </c>
      <c r="E27" s="106">
        <f t="shared" si="3"/>
        <v>52821.14</v>
      </c>
      <c r="F27" s="106">
        <v>5252.1</v>
      </c>
      <c r="G27" s="106">
        <v>201.14</v>
      </c>
      <c r="H27" s="107">
        <f t="shared" si="0"/>
        <v>47367.9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3613.77</v>
      </c>
      <c r="E28" s="106">
        <f t="shared" si="3"/>
        <v>27288.77</v>
      </c>
      <c r="F28" s="106">
        <v>23172.27</v>
      </c>
      <c r="G28" s="106">
        <v>0</v>
      </c>
      <c r="H28" s="107">
        <f t="shared" si="0"/>
        <v>4116.5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-20.54</v>
      </c>
      <c r="E30" s="106">
        <f t="shared" si="3"/>
        <v>12079.46</v>
      </c>
      <c r="F30" s="106">
        <v>11379.23</v>
      </c>
      <c r="G30" s="106">
        <v>0</v>
      </c>
      <c r="H30" s="107">
        <f t="shared" si="0"/>
        <v>700.22999999999956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0</v>
      </c>
      <c r="H33" s="107">
        <f t="shared" si="0"/>
        <v>20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713.51</v>
      </c>
      <c r="E35" s="106">
        <f t="shared" si="3"/>
        <v>2113.5100000000002</v>
      </c>
      <c r="F35" s="106">
        <v>1413.51</v>
      </c>
      <c r="G35" s="106">
        <v>0</v>
      </c>
      <c r="H35" s="107">
        <f t="shared" si="0"/>
        <v>700.00000000000023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714.38</v>
      </c>
      <c r="G36" s="106">
        <v>0</v>
      </c>
      <c r="H36" s="107">
        <f t="shared" si="0"/>
        <v>832.00000000000011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686.16</v>
      </c>
      <c r="E37" s="106">
        <f t="shared" si="3"/>
        <v>6266.16</v>
      </c>
      <c r="F37" s="106">
        <v>6266.15</v>
      </c>
      <c r="G37" s="106">
        <v>0</v>
      </c>
      <c r="H37" s="107">
        <f t="shared" si="0"/>
        <v>1.0000000000218279E-2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-19</v>
      </c>
      <c r="E38" s="106">
        <f t="shared" si="3"/>
        <v>12181</v>
      </c>
      <c r="F38" s="106">
        <v>11785.2</v>
      </c>
      <c r="G38" s="106">
        <v>0</v>
      </c>
      <c r="H38" s="107">
        <f t="shared" si="0"/>
        <v>395.79999999999927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616.4</v>
      </c>
      <c r="E40" s="106">
        <f t="shared" si="3"/>
        <v>2216.4</v>
      </c>
      <c r="F40" s="106">
        <v>1716.4</v>
      </c>
      <c r="G40" s="106">
        <v>0</v>
      </c>
      <c r="H40" s="107">
        <f t="shared" si="0"/>
        <v>500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2112.52</v>
      </c>
      <c r="E41" s="106">
        <f t="shared" si="3"/>
        <v>4212.5200000000004</v>
      </c>
      <c r="F41" s="106">
        <v>3212.52</v>
      </c>
      <c r="G41" s="106">
        <v>0</v>
      </c>
      <c r="H41" s="107">
        <f t="shared" si="0"/>
        <v>1000.0000000000005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36152.199999999997</v>
      </c>
      <c r="E42" s="106">
        <f t="shared" si="3"/>
        <v>493971.20000000001</v>
      </c>
      <c r="F42" s="106">
        <v>466857.97</v>
      </c>
      <c r="G42" s="106">
        <v>0</v>
      </c>
      <c r="H42" s="111">
        <f t="shared" si="0"/>
        <v>27113.23000000004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47188.89</v>
      </c>
      <c r="E43" s="46">
        <f>SUM(E25:E42)</f>
        <v>750737.89</v>
      </c>
      <c r="F43" s="46">
        <f>SUM(F25:F42)</f>
        <v>645147.56999999995</v>
      </c>
      <c r="G43" s="46">
        <f>SUM(G25:G42)</f>
        <v>408.64</v>
      </c>
      <c r="H43" s="47">
        <f t="shared" si="0"/>
        <v>105181.68000000007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-1488.9</v>
      </c>
      <c r="E47" s="106">
        <f t="shared" ref="E47:E50" si="4">+C47+D47</f>
        <v>177346.1</v>
      </c>
      <c r="F47" s="106">
        <v>85214.22</v>
      </c>
      <c r="G47" s="106">
        <v>0</v>
      </c>
      <c r="H47" s="113">
        <f t="shared" si="0"/>
        <v>92131.88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-4643.1000000000004</v>
      </c>
      <c r="E48" s="106">
        <f t="shared" si="4"/>
        <v>37956.9</v>
      </c>
      <c r="F48" s="106">
        <v>9848.74</v>
      </c>
      <c r="G48" s="106">
        <v>0</v>
      </c>
      <c r="H48" s="107">
        <f t="shared" si="0"/>
        <v>28108.160000000003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100782.37</v>
      </c>
      <c r="G49" s="106">
        <v>0</v>
      </c>
      <c r="H49" s="111">
        <f t="shared" si="0"/>
        <v>47578.23000000001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-536.69000000000005</v>
      </c>
      <c r="E50" s="106">
        <f t="shared" si="4"/>
        <v>663.31</v>
      </c>
      <c r="F50" s="106">
        <v>63.31</v>
      </c>
      <c r="G50" s="106">
        <v>0</v>
      </c>
      <c r="H50" s="114">
        <f t="shared" si="0"/>
        <v>600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-6798.09</v>
      </c>
      <c r="E51" s="30">
        <f>SUM(E47:E50)</f>
        <v>364326.91</v>
      </c>
      <c r="F51" s="30">
        <f>SUM(F47:F50)</f>
        <v>195908.64</v>
      </c>
      <c r="G51" s="30">
        <f>SUM(G47:G50)</f>
        <v>0</v>
      </c>
      <c r="H51" s="33">
        <f t="shared" si="0"/>
        <v>168418.26999999996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-11234.54</v>
      </c>
      <c r="E52" s="106">
        <f t="shared" ref="E52:E63" si="5">+C52+D52</f>
        <v>19325.46</v>
      </c>
      <c r="F52" s="106">
        <v>6760.37</v>
      </c>
      <c r="G52" s="106">
        <v>0</v>
      </c>
      <c r="H52" s="114">
        <f t="shared" si="0"/>
        <v>12565.09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-235.88</v>
      </c>
      <c r="E53" s="106">
        <f t="shared" si="5"/>
        <v>62764.12</v>
      </c>
      <c r="F53" s="106">
        <v>42014.82</v>
      </c>
      <c r="G53" s="106">
        <v>0</v>
      </c>
      <c r="H53" s="107">
        <f t="shared" si="0"/>
        <v>20749.300000000003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-41851.919999999998</v>
      </c>
      <c r="E55" s="106">
        <f t="shared" si="5"/>
        <v>42348.08</v>
      </c>
      <c r="F55" s="106">
        <v>2588.08</v>
      </c>
      <c r="G55" s="106">
        <v>0</v>
      </c>
      <c r="H55" s="114">
        <f t="shared" si="0"/>
        <v>39760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0</v>
      </c>
      <c r="H57" s="114">
        <f t="shared" si="0"/>
        <v>240.64000000000033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-217.18</v>
      </c>
      <c r="E58" s="106">
        <f t="shared" si="5"/>
        <v>2282.8200000000002</v>
      </c>
      <c r="F58" s="106">
        <v>1873.2</v>
      </c>
      <c r="G58" s="106"/>
      <c r="H58" s="114">
        <f t="shared" si="0"/>
        <v>409.62000000000012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-7098.2</v>
      </c>
      <c r="E59" s="106">
        <f t="shared" si="5"/>
        <v>17301.8</v>
      </c>
      <c r="F59" s="106">
        <v>6773.3</v>
      </c>
      <c r="G59" s="106">
        <v>0</v>
      </c>
      <c r="H59" s="114">
        <f t="shared" si="0"/>
        <v>10528.5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9955.31</v>
      </c>
      <c r="E60" s="106">
        <f t="shared" si="5"/>
        <v>38055.31</v>
      </c>
      <c r="F60" s="106">
        <v>12433.41</v>
      </c>
      <c r="G60" s="106">
        <v>40</v>
      </c>
      <c r="H60" s="114">
        <f t="shared" si="0"/>
        <v>25581.899999999998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589.16999999999996</v>
      </c>
      <c r="E61" s="106">
        <f t="shared" si="5"/>
        <v>24589.17</v>
      </c>
      <c r="F61" s="106">
        <v>24503.14</v>
      </c>
      <c r="G61" s="106">
        <v>0</v>
      </c>
      <c r="H61" s="114">
        <f t="shared" si="0"/>
        <v>86.029999999998836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0</v>
      </c>
      <c r="H62" s="114">
        <f t="shared" si="0"/>
        <v>7.0799999999580905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3988.3</v>
      </c>
      <c r="E63" s="106">
        <f t="shared" si="5"/>
        <v>51068.3</v>
      </c>
      <c r="F63" s="106">
        <v>46075.88</v>
      </c>
      <c r="G63" s="106">
        <v>0</v>
      </c>
      <c r="H63" s="114">
        <f t="shared" si="0"/>
        <v>4992.4200000000055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-41693.539999999994</v>
      </c>
      <c r="E64" s="30">
        <f>SUM(E52:E63)</f>
        <v>857426.46</v>
      </c>
      <c r="F64" s="30">
        <f>SUM(F52:F63)</f>
        <v>738465.88</v>
      </c>
      <c r="G64" s="30">
        <f>SUM(G52:G63)</f>
        <v>40</v>
      </c>
      <c r="H64" s="33">
        <f t="shared" si="0"/>
        <v>118920.57999999996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9407.07</v>
      </c>
      <c r="E65" s="106">
        <f t="shared" ref="E65:E67" si="6">+C65+D65</f>
        <v>17407.07</v>
      </c>
      <c r="F65" s="106">
        <v>13407.07</v>
      </c>
      <c r="G65" s="101">
        <v>0</v>
      </c>
      <c r="H65" s="114">
        <f t="shared" si="0"/>
        <v>4000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408</v>
      </c>
      <c r="E66" s="106">
        <f t="shared" si="6"/>
        <v>11868</v>
      </c>
      <c r="F66" s="106">
        <v>4712</v>
      </c>
      <c r="G66" s="106">
        <v>0</v>
      </c>
      <c r="H66" s="114">
        <f t="shared" si="0"/>
        <v>7156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11070</v>
      </c>
      <c r="E67" s="106">
        <f t="shared" si="6"/>
        <v>31070</v>
      </c>
      <c r="F67" s="106">
        <v>21070</v>
      </c>
      <c r="G67" s="106">
        <v>0</v>
      </c>
      <c r="H67" s="114">
        <f t="shared" si="0"/>
        <v>10000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20885.07</v>
      </c>
      <c r="E68" s="30">
        <f>SUM(E65:E67)</f>
        <v>60345.07</v>
      </c>
      <c r="F68" s="30">
        <f>SUM(F65:F67)</f>
        <v>39189.07</v>
      </c>
      <c r="G68" s="30">
        <f>SUM(G65:G67)</f>
        <v>0</v>
      </c>
      <c r="H68" s="33">
        <f t="shared" si="0"/>
        <v>21156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-22131.8</v>
      </c>
      <c r="E70" s="106">
        <f t="shared" si="7"/>
        <v>13868.2</v>
      </c>
      <c r="F70" s="106">
        <v>0</v>
      </c>
      <c r="G70" s="106">
        <v>0</v>
      </c>
      <c r="H70" s="114">
        <f t="shared" si="0"/>
        <v>13868.2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-19582.329999999998</v>
      </c>
      <c r="E71" s="30">
        <f>SUM(E69:E70)</f>
        <v>18417.669999999998</v>
      </c>
      <c r="F71" s="30">
        <f>SUM(F69:F70)</f>
        <v>4549.47</v>
      </c>
      <c r="G71" s="30">
        <f>SUM(G69:G70)</f>
        <v>0</v>
      </c>
      <c r="H71" s="114">
        <f t="shared" si="0"/>
        <v>13868.199999999997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1623260.63</v>
      </c>
      <c r="G72" s="90">
        <f>+G71+G68+G64+G51+G43</f>
        <v>448.64</v>
      </c>
      <c r="H72" s="97">
        <f t="shared" si="0"/>
        <v>427544.7300000001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v>-11150.5</v>
      </c>
      <c r="E75" s="106">
        <f t="shared" ref="E75:E77" si="9">+C75+D75</f>
        <v>135849.5</v>
      </c>
      <c r="F75" s="106">
        <v>35284.28</v>
      </c>
      <c r="G75" s="106">
        <v>0</v>
      </c>
      <c r="H75" s="114">
        <f t="shared" si="8"/>
        <v>100565.22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0</v>
      </c>
      <c r="H76" s="114">
        <f t="shared" si="8"/>
        <v>4832.1500000000015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-15313.36</v>
      </c>
      <c r="E78" s="30">
        <f>SUM(E75:E77)</f>
        <v>179711.64</v>
      </c>
      <c r="F78" s="30">
        <f>SUM(F75:F77)</f>
        <v>74314.26999999999</v>
      </c>
      <c r="G78" s="30">
        <f>SUM(G75:G77)</f>
        <v>0</v>
      </c>
      <c r="H78" s="33">
        <f>+E78-F78-G78</f>
        <v>105397.37000000002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-11050</v>
      </c>
      <c r="E81" s="76">
        <f t="shared" si="12"/>
        <v>187375.00000000003</v>
      </c>
      <c r="F81" s="83">
        <f>+F74+F78+F80</f>
        <v>81977.62999999999</v>
      </c>
      <c r="G81" s="90">
        <f>+G74+G78</f>
        <v>0</v>
      </c>
      <c r="H81" s="97">
        <f>+E81-F81-G81</f>
        <v>105397.37000000004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0</v>
      </c>
      <c r="H82" s="114">
        <f t="shared" si="8"/>
        <v>4000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0</v>
      </c>
      <c r="H84" s="33">
        <f t="shared" si="8"/>
        <v>4000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5500</v>
      </c>
      <c r="G85" s="101">
        <v>0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5500</v>
      </c>
      <c r="G86" s="51">
        <f>SUM(G85)</f>
        <v>0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5500</v>
      </c>
      <c r="G87" s="89">
        <f t="shared" si="14"/>
        <v>0</v>
      </c>
      <c r="H87" s="98">
        <f t="shared" si="14"/>
        <v>4000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v>5404.44</v>
      </c>
      <c r="E92" s="112">
        <f t="shared" ref="E92:E96" si="15">+C92+D92</f>
        <v>10404.439999999999</v>
      </c>
      <c r="F92" s="112">
        <v>0</v>
      </c>
      <c r="G92" s="117">
        <v>0</v>
      </c>
      <c r="H92" s="113">
        <f t="shared" si="8"/>
        <v>10404.439999999999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v>-8947.58</v>
      </c>
      <c r="E93" s="106">
        <f t="shared" si="15"/>
        <v>6052.42</v>
      </c>
      <c r="F93" s="106">
        <v>5302.42</v>
      </c>
      <c r="G93" s="108">
        <v>0</v>
      </c>
      <c r="H93" s="114">
        <f t="shared" si="8"/>
        <v>750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v>-500</v>
      </c>
      <c r="E94" s="106">
        <f t="shared" si="15"/>
        <v>0</v>
      </c>
      <c r="F94" s="106">
        <v>0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v>45194.71</v>
      </c>
      <c r="E95" s="106">
        <f t="shared" si="15"/>
        <v>60249.71</v>
      </c>
      <c r="F95" s="106">
        <v>60249.71</v>
      </c>
      <c r="G95" s="108">
        <v>0</v>
      </c>
      <c r="H95" s="114">
        <f t="shared" si="8"/>
        <v>0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43902.45</v>
      </c>
      <c r="E97" s="30">
        <f>SUM(E92:E96)</f>
        <v>80457.450000000012</v>
      </c>
      <c r="F97" s="30">
        <f>SUM(F92:F96)</f>
        <v>69303.010000000009</v>
      </c>
      <c r="G97" s="30">
        <f>SUM(G96)</f>
        <v>0</v>
      </c>
      <c r="H97" s="33">
        <f t="shared" si="8"/>
        <v>11154.440000000002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v>6896.43</v>
      </c>
      <c r="E98" s="106">
        <f>+C98+D98</f>
        <v>6896.43</v>
      </c>
      <c r="F98" s="101">
        <v>6896.43</v>
      </c>
      <c r="G98" s="101">
        <v>0</v>
      </c>
      <c r="H98" s="114">
        <f t="shared" si="8"/>
        <v>0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6896.43</v>
      </c>
      <c r="E99" s="73">
        <f>+E98</f>
        <v>6896.43</v>
      </c>
      <c r="F99" s="73">
        <f>+F98</f>
        <v>6896.43</v>
      </c>
      <c r="G99" s="73">
        <f>SUM(G98)</f>
        <v>0</v>
      </c>
      <c r="H99" s="180">
        <f t="shared" si="8"/>
        <v>0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50798.879999999997</v>
      </c>
      <c r="E100" s="80">
        <f>+E99+E97</f>
        <v>87353.88</v>
      </c>
      <c r="F100" s="85">
        <f>+F99+F97</f>
        <v>76199.44</v>
      </c>
      <c r="G100" s="87">
        <v>0</v>
      </c>
      <c r="H100" s="99">
        <f>+H99+H97</f>
        <v>11154.440000000002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5317138.2199999988</v>
      </c>
      <c r="G101" s="88">
        <f>+G24+G72+G81+G100+G87</f>
        <v>123040.30999999998</v>
      </c>
      <c r="H101" s="100">
        <f>+E101-F101-G101</f>
        <v>4747225.4700000035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headerFooter>
    <oddFooter>&amp;COFICIAL DE INFORMACION 2019
EJECUCION JUN -19&amp;R&amp;P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" workbookViewId="0">
      <selection activeCell="E52" sqref="E52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79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79"/>
      <c r="H3" s="17"/>
      <c r="I3" s="16"/>
    </row>
    <row r="4" spans="1:9" ht="14.25" x14ac:dyDescent="0.2">
      <c r="A4" s="17"/>
      <c r="B4" s="179"/>
      <c r="C4" s="179"/>
      <c r="D4" s="179"/>
      <c r="E4" s="179"/>
      <c r="F4" s="179"/>
      <c r="G4" s="179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78"/>
      <c r="B6" s="190" t="s">
        <v>88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2769137.98</v>
      </c>
      <c r="G9" s="106">
        <f>76732.5-21086.74</f>
        <v>55645.759999999995</v>
      </c>
      <c r="H9" s="107">
        <f t="shared" ref="H9:H72" si="0">+E9-F9-G9</f>
        <v>2041293.4200000002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0</v>
      </c>
      <c r="H11" s="107">
        <f t="shared" si="0"/>
        <v>395900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642942.1</v>
      </c>
      <c r="G12" s="106">
        <f>30142.23-8931.95</f>
        <v>21210.28</v>
      </c>
      <c r="H12" s="107">
        <f t="shared" si="0"/>
        <v>494351.03999999992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0</v>
      </c>
      <c r="H14" s="107">
        <f t="shared" si="0"/>
        <v>81600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166156.84</v>
      </c>
      <c r="G15" s="106">
        <f>19715.7-4357.94</f>
        <v>15357.760000000002</v>
      </c>
      <c r="H15" s="107">
        <f t="shared" si="0"/>
        <v>137636.28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35677.24</v>
      </c>
      <c r="G16" s="106">
        <f>2035.2-449.18</f>
        <v>1586.02</v>
      </c>
      <c r="H16" s="107">
        <f t="shared" si="0"/>
        <v>27994.45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185348.61</v>
      </c>
      <c r="G17" s="106">
        <f>23692.42-4129.23</f>
        <v>19563.189999999999</v>
      </c>
      <c r="H17" s="107">
        <f t="shared" si="0"/>
        <v>155340.12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47437.79</v>
      </c>
      <c r="G18" s="106">
        <f>4448.51-793.84</f>
        <v>3654.67</v>
      </c>
      <c r="H18" s="107">
        <f t="shared" si="0"/>
        <v>38734.670000000006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26169.05</v>
      </c>
      <c r="G19" s="106">
        <v>1031.27</v>
      </c>
      <c r="H19" s="107">
        <f t="shared" si="0"/>
        <v>19424.68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41207</v>
      </c>
      <c r="G22" s="106">
        <f>4537.79</f>
        <v>4537.79</v>
      </c>
      <c r="H22" s="107">
        <f t="shared" si="0"/>
        <v>25705.21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4089136.6799999997</v>
      </c>
      <c r="G24" s="92">
        <f t="shared" si="2"/>
        <v>122591.66999999998</v>
      </c>
      <c r="H24" s="95">
        <f t="shared" si="2"/>
        <v>3640192.7700000005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6240.96</v>
      </c>
      <c r="E25" s="106">
        <f t="shared" ref="E25:E42" si="3">+C25+D25</f>
        <v>74270.960000000006</v>
      </c>
      <c r="F25" s="106">
        <v>61552.45</v>
      </c>
      <c r="G25" s="106">
        <v>207.5</v>
      </c>
      <c r="H25" s="107">
        <f t="shared" si="0"/>
        <v>12511.010000000009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-351.67</v>
      </c>
      <c r="E26" s="106">
        <f t="shared" si="3"/>
        <v>648.32999999999993</v>
      </c>
      <c r="F26" s="106">
        <v>148.33000000000001</v>
      </c>
      <c r="G26" s="106">
        <v>0</v>
      </c>
      <c r="H26" s="107">
        <f t="shared" si="0"/>
        <v>499.99999999999989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2976.14</v>
      </c>
      <c r="E27" s="106">
        <f t="shared" si="3"/>
        <v>52821.14</v>
      </c>
      <c r="F27" s="106">
        <v>5252.1</v>
      </c>
      <c r="G27" s="106">
        <v>201.14</v>
      </c>
      <c r="H27" s="107">
        <f t="shared" si="0"/>
        <v>47367.9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3613.77</v>
      </c>
      <c r="E28" s="106">
        <f t="shared" si="3"/>
        <v>27288.77</v>
      </c>
      <c r="F28" s="106">
        <v>23172.27</v>
      </c>
      <c r="G28" s="106">
        <v>0</v>
      </c>
      <c r="H28" s="107">
        <f t="shared" si="0"/>
        <v>4116.5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539.46</v>
      </c>
      <c r="E30" s="106">
        <f t="shared" si="3"/>
        <v>12639.46</v>
      </c>
      <c r="F30" s="106">
        <v>11939.23</v>
      </c>
      <c r="G30" s="106">
        <v>0</v>
      </c>
      <c r="H30" s="107">
        <f t="shared" si="0"/>
        <v>700.22999999999956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0</v>
      </c>
      <c r="H33" s="107">
        <f t="shared" si="0"/>
        <v>20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713.51</v>
      </c>
      <c r="E35" s="106">
        <f t="shared" si="3"/>
        <v>2113.5100000000002</v>
      </c>
      <c r="F35" s="106">
        <v>1285.0899999999999</v>
      </c>
      <c r="G35" s="106">
        <v>0</v>
      </c>
      <c r="H35" s="107">
        <f t="shared" si="0"/>
        <v>828.4200000000003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714.38</v>
      </c>
      <c r="G36" s="106">
        <v>0</v>
      </c>
      <c r="H36" s="107">
        <f t="shared" si="0"/>
        <v>832.00000000000011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781.7</v>
      </c>
      <c r="E37" s="106">
        <f t="shared" si="3"/>
        <v>6361.7</v>
      </c>
      <c r="F37" s="106">
        <v>6361.69</v>
      </c>
      <c r="G37" s="106">
        <v>0</v>
      </c>
      <c r="H37" s="107">
        <f t="shared" si="0"/>
        <v>1.0000000000218279E-2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-19</v>
      </c>
      <c r="E38" s="106">
        <f t="shared" si="3"/>
        <v>12181</v>
      </c>
      <c r="F38" s="106">
        <v>11785.2</v>
      </c>
      <c r="G38" s="106">
        <v>0</v>
      </c>
      <c r="H38" s="107">
        <f t="shared" si="0"/>
        <v>395.79999999999927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616.4</v>
      </c>
      <c r="E40" s="106">
        <f t="shared" si="3"/>
        <v>2216.4</v>
      </c>
      <c r="F40" s="106">
        <v>1684.6</v>
      </c>
      <c r="G40" s="106">
        <v>0</v>
      </c>
      <c r="H40" s="107">
        <f t="shared" si="0"/>
        <v>531.80000000000018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2112.52</v>
      </c>
      <c r="E41" s="106">
        <f t="shared" si="3"/>
        <v>4212.5200000000004</v>
      </c>
      <c r="F41" s="106">
        <v>3146.32</v>
      </c>
      <c r="G41" s="106">
        <v>0</v>
      </c>
      <c r="H41" s="107">
        <f t="shared" si="0"/>
        <v>1066.2000000000003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32821.660000000003</v>
      </c>
      <c r="E42" s="106">
        <f t="shared" si="3"/>
        <v>490640.66000000003</v>
      </c>
      <c r="F42" s="106">
        <v>462741.97</v>
      </c>
      <c r="G42" s="106">
        <v>0</v>
      </c>
      <c r="H42" s="111">
        <f t="shared" si="0"/>
        <v>27898.690000000061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47886.140000000007</v>
      </c>
      <c r="E43" s="46">
        <f>SUM(E25:E42)</f>
        <v>751435.14</v>
      </c>
      <c r="F43" s="46">
        <f>SUM(F25:F42)</f>
        <v>644457.93999999994</v>
      </c>
      <c r="G43" s="46">
        <f>SUM(G25:G42)</f>
        <v>408.64</v>
      </c>
      <c r="H43" s="47">
        <f t="shared" si="0"/>
        <v>106568.56000000007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361.1</v>
      </c>
      <c r="E47" s="106">
        <f t="shared" ref="E47:E50" si="4">+C47+D47</f>
        <v>179196.1</v>
      </c>
      <c r="F47" s="106">
        <v>99831.41</v>
      </c>
      <c r="G47" s="106">
        <v>0</v>
      </c>
      <c r="H47" s="113">
        <f t="shared" si="0"/>
        <v>79364.69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-6143.1</v>
      </c>
      <c r="E48" s="106">
        <f t="shared" si="4"/>
        <v>36456.9</v>
      </c>
      <c r="F48" s="106">
        <v>11180.18</v>
      </c>
      <c r="G48" s="106">
        <v>0</v>
      </c>
      <c r="H48" s="107">
        <f t="shared" si="0"/>
        <v>25276.720000000001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105770.71</v>
      </c>
      <c r="G49" s="106">
        <v>0</v>
      </c>
      <c r="H49" s="111">
        <f t="shared" si="0"/>
        <v>42589.89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-886.69</v>
      </c>
      <c r="E50" s="106">
        <f t="shared" si="4"/>
        <v>313.30999999999995</v>
      </c>
      <c r="F50" s="106">
        <v>63.31</v>
      </c>
      <c r="G50" s="106">
        <v>0</v>
      </c>
      <c r="H50" s="114">
        <f t="shared" si="0"/>
        <v>249.99999999999994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-6798.09</v>
      </c>
      <c r="E51" s="30">
        <f>SUM(E47:E50)</f>
        <v>364326.91</v>
      </c>
      <c r="F51" s="30">
        <f>SUM(F47:F50)</f>
        <v>216845.61</v>
      </c>
      <c r="G51" s="30">
        <f>SUM(G47:G50)</f>
        <v>0</v>
      </c>
      <c r="H51" s="33">
        <f t="shared" si="0"/>
        <v>147481.29999999999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-11234.54</v>
      </c>
      <c r="E52" s="106">
        <f t="shared" ref="E52:E63" si="5">+C52+D52</f>
        <v>19325.46</v>
      </c>
      <c r="F52" s="106">
        <v>7290.91</v>
      </c>
      <c r="G52" s="106">
        <v>0</v>
      </c>
      <c r="H52" s="114">
        <f t="shared" si="0"/>
        <v>12034.55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-235.88</v>
      </c>
      <c r="E53" s="106">
        <f t="shared" si="5"/>
        <v>62764.12</v>
      </c>
      <c r="F53" s="106">
        <v>45364.65</v>
      </c>
      <c r="G53" s="106">
        <v>0</v>
      </c>
      <c r="H53" s="107">
        <f t="shared" si="0"/>
        <v>17399.47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-45396.45</v>
      </c>
      <c r="E55" s="106">
        <f t="shared" si="5"/>
        <v>38803.550000000003</v>
      </c>
      <c r="F55" s="106">
        <v>2588.08</v>
      </c>
      <c r="G55" s="106">
        <v>0</v>
      </c>
      <c r="H55" s="114">
        <f t="shared" si="0"/>
        <v>36215.47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0</v>
      </c>
      <c r="H57" s="114">
        <f t="shared" si="0"/>
        <v>240.64000000000033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-197.18</v>
      </c>
      <c r="E58" s="106">
        <f t="shared" si="5"/>
        <v>2302.8200000000002</v>
      </c>
      <c r="F58" s="106">
        <v>1893.2</v>
      </c>
      <c r="G58" s="106"/>
      <c r="H58" s="114">
        <f t="shared" si="0"/>
        <v>409.62000000000012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-7098.2</v>
      </c>
      <c r="E59" s="106">
        <f t="shared" si="5"/>
        <v>17301.8</v>
      </c>
      <c r="F59" s="106">
        <v>6773.3</v>
      </c>
      <c r="G59" s="106">
        <v>0</v>
      </c>
      <c r="H59" s="114">
        <f t="shared" si="0"/>
        <v>10528.5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9955.31</v>
      </c>
      <c r="E60" s="106">
        <f t="shared" si="5"/>
        <v>38055.31</v>
      </c>
      <c r="F60" s="106">
        <v>12433.41</v>
      </c>
      <c r="G60" s="106">
        <v>40</v>
      </c>
      <c r="H60" s="114">
        <f t="shared" si="0"/>
        <v>25581.899999999998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589.16999999999996</v>
      </c>
      <c r="E61" s="106">
        <f t="shared" si="5"/>
        <v>24589.17</v>
      </c>
      <c r="F61" s="106">
        <v>24503.14</v>
      </c>
      <c r="G61" s="106">
        <v>0</v>
      </c>
      <c r="H61" s="114">
        <f t="shared" si="0"/>
        <v>86.029999999998836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0</v>
      </c>
      <c r="H62" s="114">
        <f t="shared" si="0"/>
        <v>7.0799999999580905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3988.3</v>
      </c>
      <c r="E63" s="106">
        <f t="shared" si="5"/>
        <v>51068.3</v>
      </c>
      <c r="F63" s="106">
        <v>47186.66</v>
      </c>
      <c r="G63" s="106">
        <v>0</v>
      </c>
      <c r="H63" s="114">
        <f t="shared" si="0"/>
        <v>3881.6399999999994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-45218.069999999992</v>
      </c>
      <c r="E64" s="30">
        <f>SUM(E52:E63)</f>
        <v>853901.93</v>
      </c>
      <c r="F64" s="30">
        <f>SUM(F52:F63)</f>
        <v>743477.03</v>
      </c>
      <c r="G64" s="30">
        <f>SUM(G52:G63)</f>
        <v>40</v>
      </c>
      <c r="H64" s="33">
        <f t="shared" si="0"/>
        <v>110384.90000000002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12675.35</v>
      </c>
      <c r="E65" s="106">
        <f t="shared" ref="E65:E67" si="6">+C65+D65</f>
        <v>20675.349999999999</v>
      </c>
      <c r="F65" s="106">
        <v>18675.349999999999</v>
      </c>
      <c r="G65" s="101">
        <v>0</v>
      </c>
      <c r="H65" s="114">
        <f t="shared" si="0"/>
        <v>2000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592</v>
      </c>
      <c r="E66" s="106">
        <f t="shared" si="6"/>
        <v>12052</v>
      </c>
      <c r="F66" s="106">
        <v>4658</v>
      </c>
      <c r="G66" s="106">
        <v>0</v>
      </c>
      <c r="H66" s="114">
        <f t="shared" si="0"/>
        <v>7394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11070</v>
      </c>
      <c r="E67" s="106">
        <f t="shared" si="6"/>
        <v>31070</v>
      </c>
      <c r="F67" s="106">
        <v>23825</v>
      </c>
      <c r="G67" s="106">
        <v>0</v>
      </c>
      <c r="H67" s="114">
        <f t="shared" si="0"/>
        <v>7245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24337.35</v>
      </c>
      <c r="E68" s="30">
        <f>SUM(E65:E67)</f>
        <v>63797.35</v>
      </c>
      <c r="F68" s="30">
        <f>SUM(F65:F67)</f>
        <v>47158.35</v>
      </c>
      <c r="G68" s="30">
        <f>SUM(G65:G67)</f>
        <v>0</v>
      </c>
      <c r="H68" s="33">
        <f t="shared" si="0"/>
        <v>16639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-22756.799999999999</v>
      </c>
      <c r="E70" s="106">
        <f t="shared" si="7"/>
        <v>13243.2</v>
      </c>
      <c r="F70" s="106">
        <v>0</v>
      </c>
      <c r="G70" s="106">
        <v>0</v>
      </c>
      <c r="H70" s="114">
        <f t="shared" si="0"/>
        <v>13243.2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-20207.329999999998</v>
      </c>
      <c r="E71" s="30">
        <f>SUM(E69:E70)</f>
        <v>17792.669999999998</v>
      </c>
      <c r="F71" s="30">
        <f>SUM(F69:F70)</f>
        <v>4549.47</v>
      </c>
      <c r="G71" s="30">
        <f>SUM(G69:G70)</f>
        <v>0</v>
      </c>
      <c r="H71" s="114">
        <f t="shared" si="0"/>
        <v>13243.199999999997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1656488.4</v>
      </c>
      <c r="G72" s="90">
        <f>+G71+G68+G64+G51+G43</f>
        <v>448.64</v>
      </c>
      <c r="H72" s="97">
        <f t="shared" si="0"/>
        <v>394316.96000000008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v>-11150.5</v>
      </c>
      <c r="E75" s="106">
        <f t="shared" ref="E75:E77" si="9">+C75+D75</f>
        <v>135849.5</v>
      </c>
      <c r="F75" s="106">
        <v>35284.28</v>
      </c>
      <c r="G75" s="106">
        <v>0</v>
      </c>
      <c r="H75" s="114">
        <f t="shared" si="8"/>
        <v>100565.22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0</v>
      </c>
      <c r="H76" s="114">
        <f t="shared" si="8"/>
        <v>4832.1500000000015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-15313.36</v>
      </c>
      <c r="E78" s="30">
        <f>SUM(E75:E77)</f>
        <v>179711.64</v>
      </c>
      <c r="F78" s="30">
        <f>SUM(F75:F77)</f>
        <v>74314.26999999999</v>
      </c>
      <c r="G78" s="30">
        <f>SUM(G75:G77)</f>
        <v>0</v>
      </c>
      <c r="H78" s="33">
        <f>+E78-F78-G78</f>
        <v>105397.37000000002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-11050</v>
      </c>
      <c r="E81" s="76">
        <f t="shared" si="12"/>
        <v>187375.00000000003</v>
      </c>
      <c r="F81" s="83">
        <f>+F74+F78+F80</f>
        <v>81977.62999999999</v>
      </c>
      <c r="G81" s="90">
        <f>+G74+G78</f>
        <v>0</v>
      </c>
      <c r="H81" s="97">
        <f>+E81-F81-G81</f>
        <v>105397.37000000004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0</v>
      </c>
      <c r="H82" s="114">
        <f t="shared" si="8"/>
        <v>4000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0</v>
      </c>
      <c r="H84" s="33">
        <f t="shared" si="8"/>
        <v>4000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5144.68</v>
      </c>
      <c r="G85" s="101">
        <v>0</v>
      </c>
      <c r="H85" s="114">
        <f t="shared" si="8"/>
        <v>355.31999999999971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5144.68</v>
      </c>
      <c r="G86" s="51">
        <f>SUM(G85)</f>
        <v>0</v>
      </c>
      <c r="H86" s="115">
        <f t="shared" si="8"/>
        <v>355.31999999999971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5144.68</v>
      </c>
      <c r="G87" s="89">
        <f t="shared" si="14"/>
        <v>0</v>
      </c>
      <c r="H87" s="98">
        <f t="shared" si="14"/>
        <v>4355.32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v>5404.44</v>
      </c>
      <c r="E92" s="112">
        <f t="shared" ref="E92:E96" si="15">+C92+D92</f>
        <v>10404.439999999999</v>
      </c>
      <c r="F92" s="112">
        <v>0</v>
      </c>
      <c r="G92" s="117">
        <v>0</v>
      </c>
      <c r="H92" s="113">
        <f t="shared" si="8"/>
        <v>10404.439999999999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v>-8947.58</v>
      </c>
      <c r="E93" s="106">
        <f t="shared" si="15"/>
        <v>6052.42</v>
      </c>
      <c r="F93" s="106">
        <v>5302.42</v>
      </c>
      <c r="G93" s="108">
        <v>0</v>
      </c>
      <c r="H93" s="114">
        <f t="shared" si="8"/>
        <v>750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v>-500</v>
      </c>
      <c r="E94" s="106">
        <f t="shared" si="15"/>
        <v>0</v>
      </c>
      <c r="F94" s="106">
        <v>0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v>45194.71</v>
      </c>
      <c r="E95" s="106">
        <f t="shared" si="15"/>
        <v>60249.71</v>
      </c>
      <c r="F95" s="106">
        <v>60249.71</v>
      </c>
      <c r="G95" s="108">
        <v>0</v>
      </c>
      <c r="H95" s="114">
        <f t="shared" si="8"/>
        <v>0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43902.45</v>
      </c>
      <c r="E97" s="30">
        <f>SUM(E92:E96)</f>
        <v>80457.450000000012</v>
      </c>
      <c r="F97" s="30">
        <f>SUM(F92:F96)</f>
        <v>69303.010000000009</v>
      </c>
      <c r="G97" s="30">
        <f>SUM(G96)</f>
        <v>0</v>
      </c>
      <c r="H97" s="33">
        <f t="shared" si="8"/>
        <v>11154.440000000002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v>6896.43</v>
      </c>
      <c r="E98" s="106">
        <f>+C98+D98</f>
        <v>6896.43</v>
      </c>
      <c r="F98" s="101">
        <v>6896.43</v>
      </c>
      <c r="G98" s="101">
        <v>0</v>
      </c>
      <c r="H98" s="114">
        <f t="shared" si="8"/>
        <v>0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6896.43</v>
      </c>
      <c r="E99" s="73">
        <f>+E98</f>
        <v>6896.43</v>
      </c>
      <c r="F99" s="73">
        <f>+F98</f>
        <v>6896.43</v>
      </c>
      <c r="G99" s="73">
        <f>SUM(G98)</f>
        <v>0</v>
      </c>
      <c r="H99" s="180">
        <f t="shared" si="8"/>
        <v>0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50798.879999999997</v>
      </c>
      <c r="E100" s="80">
        <f>+E99+E97</f>
        <v>87353.88</v>
      </c>
      <c r="F100" s="85">
        <f>+F99+F97</f>
        <v>76199.44</v>
      </c>
      <c r="G100" s="87">
        <v>0</v>
      </c>
      <c r="H100" s="99">
        <f>+H99+H97</f>
        <v>11154.440000000002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5908946.8300000001</v>
      </c>
      <c r="G101" s="88">
        <f>+G24+G72+G81+G100+G87</f>
        <v>123040.30999999998</v>
      </c>
      <c r="H101" s="100">
        <f>+E101-F101-G101</f>
        <v>4155416.8600000017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&amp;COFICIAL DE INFORMACION 2019
EJECUCION JUL-19&amp;R&amp;P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0" workbookViewId="0">
      <selection activeCell="F51" sqref="F51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82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82"/>
      <c r="H3" s="17"/>
      <c r="I3" s="16"/>
    </row>
    <row r="4" spans="1:9" ht="14.25" x14ac:dyDescent="0.2">
      <c r="A4" s="17"/>
      <c r="B4" s="182"/>
      <c r="C4" s="182"/>
      <c r="D4" s="182"/>
      <c r="E4" s="182"/>
      <c r="F4" s="182"/>
      <c r="G4" s="182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81"/>
      <c r="B6" s="190" t="s">
        <v>89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3168332.26</v>
      </c>
      <c r="G9" s="106">
        <f>92635.38-21086.74</f>
        <v>71548.639999999999</v>
      </c>
      <c r="H9" s="107">
        <f t="shared" ref="H9:H72" si="0">+E9-F9-G9</f>
        <v>1626196.2600000005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/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4400</v>
      </c>
      <c r="H11" s="107">
        <f t="shared" si="0"/>
        <v>391500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738440.86</v>
      </c>
      <c r="G12" s="106">
        <f>36855.38-8931.95</f>
        <v>27923.429999999997</v>
      </c>
      <c r="H12" s="107">
        <f t="shared" si="0"/>
        <v>392139.12999999995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1600</v>
      </c>
      <c r="H14" s="107">
        <f t="shared" si="0"/>
        <v>80000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189954.11</v>
      </c>
      <c r="G15" s="106">
        <f>25904.87-4357.94</f>
        <v>21546.93</v>
      </c>
      <c r="H15" s="107">
        <f t="shared" si="0"/>
        <v>107649.84000000003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41055.050000000003</v>
      </c>
      <c r="G16" s="106">
        <f>2506.88-449.18</f>
        <v>2057.7000000000003</v>
      </c>
      <c r="H16" s="107">
        <f t="shared" si="0"/>
        <v>22144.959999999995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211884.3</v>
      </c>
      <c r="G17" s="106">
        <f>31251.93-4129.23</f>
        <v>27122.7</v>
      </c>
      <c r="H17" s="107">
        <f t="shared" si="0"/>
        <v>121244.92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54494.84</v>
      </c>
      <c r="G18" s="106">
        <f>5679.05-793.84</f>
        <v>4885.21</v>
      </c>
      <c r="H18" s="107">
        <f t="shared" si="0"/>
        <v>30447.080000000009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30054.81</v>
      </c>
      <c r="G19" s="106">
        <v>1031.27</v>
      </c>
      <c r="H19" s="107">
        <f t="shared" si="0"/>
        <v>15538.919999999998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42328.63</v>
      </c>
      <c r="G22" s="106">
        <v>5421.37</v>
      </c>
      <c r="H22" s="107">
        <f t="shared" si="0"/>
        <v>23700.000000000004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4651604.9299999988</v>
      </c>
      <c r="G24" s="92">
        <f t="shared" si="2"/>
        <v>167542.17999999996</v>
      </c>
      <c r="H24" s="95">
        <f t="shared" si="2"/>
        <v>3032774.01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11014.96</v>
      </c>
      <c r="E25" s="106">
        <f t="shared" ref="E25:E42" si="3">+C25+D25</f>
        <v>79044.959999999992</v>
      </c>
      <c r="F25" s="106">
        <v>65515.95</v>
      </c>
      <c r="G25" s="106">
        <v>2332.5</v>
      </c>
      <c r="H25" s="107">
        <f t="shared" si="0"/>
        <v>11196.509999999995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-291.77</v>
      </c>
      <c r="E26" s="106">
        <f t="shared" si="3"/>
        <v>708.23</v>
      </c>
      <c r="F26" s="106">
        <v>458.23</v>
      </c>
      <c r="G26" s="106">
        <v>0</v>
      </c>
      <c r="H26" s="107">
        <f t="shared" si="0"/>
        <v>250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2976.14</v>
      </c>
      <c r="E27" s="106">
        <f t="shared" si="3"/>
        <v>52821.14</v>
      </c>
      <c r="F27" s="106">
        <v>5252.1</v>
      </c>
      <c r="G27" s="106">
        <v>204.04</v>
      </c>
      <c r="H27" s="107">
        <f t="shared" si="0"/>
        <v>47365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3651.42</v>
      </c>
      <c r="E28" s="106">
        <f t="shared" si="3"/>
        <v>27326.42</v>
      </c>
      <c r="F28" s="106">
        <v>23172.27</v>
      </c>
      <c r="G28" s="106">
        <v>116.5</v>
      </c>
      <c r="H28" s="107">
        <f t="shared" si="0"/>
        <v>4037.6499999999978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637.29999999999995</v>
      </c>
      <c r="E30" s="106">
        <f t="shared" si="3"/>
        <v>12737.3</v>
      </c>
      <c r="F30" s="106">
        <v>12037.07</v>
      </c>
      <c r="G30" s="106">
        <v>0.23</v>
      </c>
      <c r="H30" s="107">
        <f t="shared" si="0"/>
        <v>699.99999999999955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20</v>
      </c>
      <c r="H33" s="107">
        <f t="shared" si="0"/>
        <v>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563.57000000000005</v>
      </c>
      <c r="E35" s="106">
        <f t="shared" si="3"/>
        <v>1963.5700000000002</v>
      </c>
      <c r="F35" s="106">
        <v>1390.98</v>
      </c>
      <c r="G35" s="106">
        <v>128.41999999999999</v>
      </c>
      <c r="H35" s="107">
        <f t="shared" si="0"/>
        <v>444.17000000000019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714.38</v>
      </c>
      <c r="G36" s="106">
        <v>482</v>
      </c>
      <c r="H36" s="107">
        <f t="shared" si="0"/>
        <v>350.00000000000011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832.7</v>
      </c>
      <c r="E37" s="106">
        <f t="shared" si="3"/>
        <v>6412.7</v>
      </c>
      <c r="F37" s="106">
        <v>6412.69</v>
      </c>
      <c r="G37" s="106">
        <v>0.01</v>
      </c>
      <c r="H37" s="107">
        <f t="shared" si="0"/>
        <v>2.1827852025868566E-13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71</v>
      </c>
      <c r="E38" s="106">
        <f t="shared" si="3"/>
        <v>12271</v>
      </c>
      <c r="F38" s="106">
        <v>11785.2</v>
      </c>
      <c r="G38" s="106">
        <v>45.8</v>
      </c>
      <c r="H38" s="107">
        <f t="shared" si="0"/>
        <v>439.99999999999926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616.4</v>
      </c>
      <c r="E40" s="106">
        <f t="shared" si="3"/>
        <v>2216.4</v>
      </c>
      <c r="F40" s="106">
        <v>1708.9</v>
      </c>
      <c r="G40" s="106">
        <v>31.8</v>
      </c>
      <c r="H40" s="107">
        <f t="shared" si="0"/>
        <v>475.7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2116.42</v>
      </c>
      <c r="E41" s="106">
        <f t="shared" si="3"/>
        <v>4216.42</v>
      </c>
      <c r="F41" s="106">
        <v>3150.22</v>
      </c>
      <c r="G41" s="106">
        <v>66.2</v>
      </c>
      <c r="H41" s="107">
        <f t="shared" si="0"/>
        <v>1000.0000000000002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30812.31</v>
      </c>
      <c r="E42" s="106">
        <f t="shared" si="3"/>
        <v>488631.31</v>
      </c>
      <c r="F42" s="106">
        <v>463811.77</v>
      </c>
      <c r="G42" s="106">
        <v>4874.2299999999996</v>
      </c>
      <c r="H42" s="111">
        <f t="shared" si="0"/>
        <v>19945.309999999979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50841.14</v>
      </c>
      <c r="E43" s="46">
        <f>SUM(E25:E42)</f>
        <v>754390.1399999999</v>
      </c>
      <c r="F43" s="46">
        <f>SUM(F25:F42)</f>
        <v>650084.07000000007</v>
      </c>
      <c r="G43" s="46">
        <f>SUM(G25:G42)</f>
        <v>8301.73</v>
      </c>
      <c r="H43" s="47">
        <f t="shared" si="0"/>
        <v>96004.339999999836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361.41</v>
      </c>
      <c r="E47" s="106">
        <f t="shared" ref="E47:E50" si="4">+C47+D47</f>
        <v>179196.41</v>
      </c>
      <c r="F47" s="106">
        <v>113921.8</v>
      </c>
      <c r="G47" s="106">
        <v>2966.88</v>
      </c>
      <c r="H47" s="113">
        <f t="shared" si="0"/>
        <v>62307.73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-6143.41</v>
      </c>
      <c r="E48" s="106">
        <f t="shared" si="4"/>
        <v>36456.589999999997</v>
      </c>
      <c r="F48" s="106">
        <v>13223.79</v>
      </c>
      <c r="G48" s="106">
        <v>6808.16</v>
      </c>
      <c r="H48" s="107">
        <f t="shared" si="0"/>
        <v>16424.639999999996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110888.39</v>
      </c>
      <c r="G49" s="106">
        <v>6698.14</v>
      </c>
      <c r="H49" s="111">
        <f t="shared" si="0"/>
        <v>30774.070000000007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-886.69</v>
      </c>
      <c r="E50" s="106">
        <f t="shared" si="4"/>
        <v>313.30999999999995</v>
      </c>
      <c r="F50" s="106">
        <v>63.31</v>
      </c>
      <c r="G50" s="106">
        <v>0</v>
      </c>
      <c r="H50" s="114">
        <f t="shared" si="0"/>
        <v>249.99999999999994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-6798.09</v>
      </c>
      <c r="E51" s="30">
        <f>SUM(E47:E50)</f>
        <v>364326.91</v>
      </c>
      <c r="F51" s="30">
        <f>SUM(F47:F50)</f>
        <v>238097.28999999998</v>
      </c>
      <c r="G51" s="30">
        <f>SUM(G47:G50)</f>
        <v>16473.18</v>
      </c>
      <c r="H51" s="33">
        <f t="shared" si="0"/>
        <v>109756.44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-11234.54</v>
      </c>
      <c r="E52" s="106">
        <f t="shared" ref="E52:E63" si="5">+C52+D52</f>
        <v>19325.46</v>
      </c>
      <c r="F52" s="106">
        <v>15678.76</v>
      </c>
      <c r="G52" s="106">
        <v>520.36</v>
      </c>
      <c r="H52" s="114">
        <f t="shared" si="0"/>
        <v>3126.3399999999988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-235.88</v>
      </c>
      <c r="E53" s="106">
        <f t="shared" si="5"/>
        <v>62764.12</v>
      </c>
      <c r="F53" s="106">
        <v>45539.65</v>
      </c>
      <c r="G53" s="106">
        <v>1412.2</v>
      </c>
      <c r="H53" s="107">
        <f t="shared" si="0"/>
        <v>15812.27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-45396.45</v>
      </c>
      <c r="E55" s="106">
        <f t="shared" si="5"/>
        <v>38803.550000000003</v>
      </c>
      <c r="F55" s="106">
        <v>2588.08</v>
      </c>
      <c r="G55" s="106">
        <v>0</v>
      </c>
      <c r="H55" s="114">
        <f t="shared" si="0"/>
        <v>36215.47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120.32</v>
      </c>
      <c r="H57" s="114">
        <f t="shared" si="0"/>
        <v>120.32000000000033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-197.18</v>
      </c>
      <c r="E58" s="106">
        <f t="shared" si="5"/>
        <v>2302.8200000000002</v>
      </c>
      <c r="F58" s="106">
        <v>1893.2</v>
      </c>
      <c r="G58" s="106">
        <v>409.62</v>
      </c>
      <c r="H58" s="114">
        <f t="shared" si="0"/>
        <v>0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-6934.2</v>
      </c>
      <c r="E59" s="106">
        <f t="shared" si="5"/>
        <v>17465.8</v>
      </c>
      <c r="F59" s="106">
        <v>11209.3</v>
      </c>
      <c r="G59" s="106">
        <v>128.5</v>
      </c>
      <c r="H59" s="114">
        <f t="shared" si="0"/>
        <v>6128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7955.31</v>
      </c>
      <c r="E60" s="106">
        <f t="shared" si="5"/>
        <v>36055.31</v>
      </c>
      <c r="F60" s="106">
        <v>12433.41</v>
      </c>
      <c r="G60" s="106">
        <v>2321.9</v>
      </c>
      <c r="H60" s="114">
        <f t="shared" si="0"/>
        <v>21299.999999999996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589.16999999999996</v>
      </c>
      <c r="E61" s="106">
        <f t="shared" si="5"/>
        <v>24589.17</v>
      </c>
      <c r="F61" s="106">
        <v>24503.14</v>
      </c>
      <c r="G61" s="106">
        <v>12.29</v>
      </c>
      <c r="H61" s="114">
        <f t="shared" si="0"/>
        <v>73.739999999998844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3.54</v>
      </c>
      <c r="H62" s="114">
        <f t="shared" si="0"/>
        <v>3.5399999999580904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3988.3</v>
      </c>
      <c r="E63" s="106">
        <f t="shared" si="5"/>
        <v>51068.3</v>
      </c>
      <c r="F63" s="106">
        <v>47186.66</v>
      </c>
      <c r="G63" s="106">
        <v>955.34</v>
      </c>
      <c r="H63" s="114">
        <f t="shared" si="0"/>
        <v>2926.2999999999993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-47054.069999999992</v>
      </c>
      <c r="E64" s="30">
        <f>SUM(E52:E63)</f>
        <v>852065.93</v>
      </c>
      <c r="F64" s="30">
        <f>SUM(F52:F63)</f>
        <v>756475.88000000012</v>
      </c>
      <c r="G64" s="30">
        <f>SUM(G52:G63)</f>
        <v>5884.07</v>
      </c>
      <c r="H64" s="33">
        <f t="shared" si="0"/>
        <v>89705.979999999923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12675.35</v>
      </c>
      <c r="E65" s="106">
        <f t="shared" ref="E65:E67" si="6">+C65+D65</f>
        <v>20675.349999999999</v>
      </c>
      <c r="F65" s="106">
        <v>18675.349999999999</v>
      </c>
      <c r="G65" s="101">
        <v>0</v>
      </c>
      <c r="H65" s="114">
        <f t="shared" si="0"/>
        <v>2000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687</v>
      </c>
      <c r="E66" s="106">
        <f t="shared" si="6"/>
        <v>12147</v>
      </c>
      <c r="F66" s="106">
        <v>5112</v>
      </c>
      <c r="G66" s="106">
        <v>2381</v>
      </c>
      <c r="H66" s="114">
        <f t="shared" si="0"/>
        <v>4654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11070</v>
      </c>
      <c r="E67" s="106">
        <f t="shared" si="6"/>
        <v>31070</v>
      </c>
      <c r="F67" s="106">
        <v>24470</v>
      </c>
      <c r="G67" s="106">
        <v>200</v>
      </c>
      <c r="H67" s="114">
        <f t="shared" si="0"/>
        <v>6400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24432.35</v>
      </c>
      <c r="E68" s="30">
        <f>SUM(E65:E67)</f>
        <v>63892.35</v>
      </c>
      <c r="F68" s="30">
        <f>SUM(F65:F67)</f>
        <v>48257.35</v>
      </c>
      <c r="G68" s="30">
        <f>SUM(G65:G67)</f>
        <v>2581</v>
      </c>
      <c r="H68" s="33">
        <f t="shared" si="0"/>
        <v>13054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-23970.799999999999</v>
      </c>
      <c r="E70" s="106">
        <f t="shared" si="7"/>
        <v>12029.2</v>
      </c>
      <c r="F70" s="106">
        <v>0</v>
      </c>
      <c r="G70" s="106">
        <v>395.5</v>
      </c>
      <c r="H70" s="114">
        <f t="shared" si="0"/>
        <v>11633.7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-21421.329999999998</v>
      </c>
      <c r="E71" s="30">
        <f>SUM(E69:E70)</f>
        <v>16578.669999999998</v>
      </c>
      <c r="F71" s="30">
        <f>SUM(F69:F70)</f>
        <v>4549.47</v>
      </c>
      <c r="G71" s="30">
        <f>SUM(G69:G70)</f>
        <v>395.5</v>
      </c>
      <c r="H71" s="114">
        <f t="shared" si="0"/>
        <v>11633.699999999997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1697464.06</v>
      </c>
      <c r="G72" s="90">
        <f>+G71+G68+G64+G51+G43</f>
        <v>33635.479999999996</v>
      </c>
      <c r="H72" s="97">
        <f t="shared" si="0"/>
        <v>320154.45999999996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f>-11150.5-3195.17</f>
        <v>-14345.67</v>
      </c>
      <c r="E75" s="106">
        <f t="shared" ref="E75:E77" si="9">+C75+D75</f>
        <v>132654.32999999999</v>
      </c>
      <c r="F75" s="106">
        <v>35284.28</v>
      </c>
      <c r="G75" s="106"/>
      <c r="H75" s="114">
        <f t="shared" si="8"/>
        <v>97370.049999999988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4768.6899999999996</v>
      </c>
      <c r="H76" s="114">
        <f t="shared" si="8"/>
        <v>63.460000000001855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-18508.53</v>
      </c>
      <c r="E78" s="30">
        <f>SUM(E75:E77)</f>
        <v>176516.46999999997</v>
      </c>
      <c r="F78" s="30">
        <f>SUM(F75:F77)</f>
        <v>74314.26999999999</v>
      </c>
      <c r="G78" s="30">
        <f>SUM(G75:G77)</f>
        <v>4768.6899999999996</v>
      </c>
      <c r="H78" s="33">
        <f>+E78-F78-G78</f>
        <v>97433.50999999998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-14245.169999999998</v>
      </c>
      <c r="E81" s="76">
        <f t="shared" si="12"/>
        <v>184179.83</v>
      </c>
      <c r="F81" s="83">
        <f>+F74+F78+F80</f>
        <v>81977.62999999999</v>
      </c>
      <c r="G81" s="90">
        <f>+G74+G78</f>
        <v>4768.6899999999996</v>
      </c>
      <c r="H81" s="97">
        <f>+E81-F81-G81</f>
        <v>97433.51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2000</v>
      </c>
      <c r="H82" s="114">
        <f t="shared" si="8"/>
        <v>2000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2000</v>
      </c>
      <c r="H84" s="33">
        <f t="shared" si="8"/>
        <v>2000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5144.68</v>
      </c>
      <c r="G85" s="101">
        <v>355.32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5144.68</v>
      </c>
      <c r="G86" s="51">
        <f>SUM(G85)</f>
        <v>355.32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5144.68</v>
      </c>
      <c r="G87" s="89">
        <f t="shared" si="14"/>
        <v>2355.3200000000002</v>
      </c>
      <c r="H87" s="98">
        <f t="shared" si="14"/>
        <v>2000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f>4930.94+360.44</f>
        <v>5291.3799999999992</v>
      </c>
      <c r="E92" s="112">
        <f t="shared" ref="E92:E96" si="15">+C92+D92</f>
        <v>10291.379999999999</v>
      </c>
      <c r="F92" s="112">
        <v>9824.9</v>
      </c>
      <c r="G92" s="117">
        <v>0</v>
      </c>
      <c r="H92" s="113">
        <f t="shared" si="8"/>
        <v>466.47999999999956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f>-8474.08+1202.91</f>
        <v>-7271.17</v>
      </c>
      <c r="E93" s="106">
        <f t="shared" si="15"/>
        <v>7728.83</v>
      </c>
      <c r="F93" s="106">
        <v>6525.92</v>
      </c>
      <c r="G93" s="108">
        <v>0</v>
      </c>
      <c r="H93" s="114">
        <f t="shared" si="8"/>
        <v>1202.9099999999999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f>-500+55</f>
        <v>-445</v>
      </c>
      <c r="E94" s="106">
        <f t="shared" si="15"/>
        <v>55</v>
      </c>
      <c r="F94" s="106">
        <v>0</v>
      </c>
      <c r="G94" s="108">
        <v>0</v>
      </c>
      <c r="H94" s="114">
        <f t="shared" si="8"/>
        <v>55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f>45194.71+385</f>
        <v>45579.71</v>
      </c>
      <c r="E95" s="106">
        <f t="shared" si="15"/>
        <v>60634.71</v>
      </c>
      <c r="F95" s="106">
        <v>60249.71</v>
      </c>
      <c r="G95" s="108">
        <v>0</v>
      </c>
      <c r="H95" s="114">
        <f t="shared" si="8"/>
        <v>385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45905.799999999996</v>
      </c>
      <c r="E97" s="30">
        <f>SUM(E92:E96)</f>
        <v>82460.800000000003</v>
      </c>
      <c r="F97" s="30">
        <f>SUM(F92:F96)</f>
        <v>80351.41</v>
      </c>
      <c r="G97" s="30">
        <f>SUM(G96)</f>
        <v>0</v>
      </c>
      <c r="H97" s="33">
        <f t="shared" si="8"/>
        <v>2109.3899999999994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f>6896.43+1191.82</f>
        <v>8088.25</v>
      </c>
      <c r="E98" s="106">
        <f>+C98+D98</f>
        <v>8088.25</v>
      </c>
      <c r="F98" s="101">
        <v>6896.43</v>
      </c>
      <c r="G98" s="101">
        <v>0</v>
      </c>
      <c r="H98" s="114">
        <f t="shared" si="8"/>
        <v>1191.8199999999997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8088.25</v>
      </c>
      <c r="E99" s="73">
        <f>+E98</f>
        <v>8088.25</v>
      </c>
      <c r="F99" s="73">
        <f>+F98</f>
        <v>6896.43</v>
      </c>
      <c r="G99" s="73">
        <f>SUM(G98)</f>
        <v>0</v>
      </c>
      <c r="H99" s="180">
        <f t="shared" si="8"/>
        <v>1191.8199999999997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53994.049999999996</v>
      </c>
      <c r="E100" s="80">
        <f>+E99+E97</f>
        <v>90549.05</v>
      </c>
      <c r="F100" s="85">
        <f>+F99+F97</f>
        <v>87247.84</v>
      </c>
      <c r="G100" s="87">
        <v>0</v>
      </c>
      <c r="H100" s="99">
        <f>+H99+H97</f>
        <v>3301.2099999999991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6523439.1399999978</v>
      </c>
      <c r="G101" s="88">
        <f>+G24+G72+G81+G100+G87</f>
        <v>208301.66999999998</v>
      </c>
      <c r="H101" s="100">
        <f>+E101-F101-G101</f>
        <v>3455663.1900000041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&amp;COFICIAL DE INFORMACION 2019
EJECUCION AGO - 19&amp;R&amp;P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workbookViewId="0">
      <selection activeCell="G17" sqref="G17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84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84"/>
      <c r="H3" s="17"/>
      <c r="I3" s="16"/>
    </row>
    <row r="4" spans="1:9" ht="14.25" x14ac:dyDescent="0.2">
      <c r="A4" s="17"/>
      <c r="B4" s="184"/>
      <c r="C4" s="184"/>
      <c r="D4" s="184"/>
      <c r="E4" s="184"/>
      <c r="F4" s="184"/>
      <c r="G4" s="184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83"/>
      <c r="B6" s="190" t="s">
        <v>90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3562366.03</v>
      </c>
      <c r="G9" s="106">
        <f>105149.43-21086.74</f>
        <v>84062.689999999988</v>
      </c>
      <c r="H9" s="107">
        <f t="shared" ref="H9:H72" si="0">+E9-F9-G9</f>
        <v>1219648.4400000004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/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4400</v>
      </c>
      <c r="H11" s="107">
        <f t="shared" si="0"/>
        <v>391500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829577.13</v>
      </c>
      <c r="G12" s="106">
        <f>43753.13-8931.95</f>
        <v>34821.179999999993</v>
      </c>
      <c r="H12" s="107">
        <f t="shared" si="0"/>
        <v>294105.10999999993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1600</v>
      </c>
      <c r="H14" s="107">
        <f t="shared" si="0"/>
        <v>80000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213717.08</v>
      </c>
      <c r="G15" s="106">
        <f>29053.35-4357.94</f>
        <v>24695.41</v>
      </c>
      <c r="H15" s="107">
        <f t="shared" si="0"/>
        <v>80738.390000000014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46104.5</v>
      </c>
      <c r="G16" s="106">
        <f>2990.42-449.18</f>
        <v>2541.2400000000002</v>
      </c>
      <c r="H16" s="107">
        <f t="shared" si="0"/>
        <v>16611.969999999998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238188.7</v>
      </c>
      <c r="G17" s="106">
        <f>35256.39-4129.23</f>
        <v>31127.16</v>
      </c>
      <c r="H17" s="107">
        <f t="shared" si="0"/>
        <v>90936.059999999969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60941.29</v>
      </c>
      <c r="G18" s="106">
        <f>6842.87-793.84</f>
        <v>6049.03</v>
      </c>
      <c r="H18" s="107">
        <f t="shared" si="0"/>
        <v>22836.810000000005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33004.080000000002</v>
      </c>
      <c r="G19" s="106">
        <v>1967.76</v>
      </c>
      <c r="H19" s="107">
        <f t="shared" si="0"/>
        <v>11653.159999999998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  <c r="I20" s="187"/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52414.91</v>
      </c>
      <c r="G22" s="106">
        <v>5885.09</v>
      </c>
      <c r="H22" s="107">
        <f t="shared" si="0"/>
        <v>13149.999999999996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5211373.790000001</v>
      </c>
      <c r="G24" s="92">
        <f t="shared" si="2"/>
        <v>197154.48999999996</v>
      </c>
      <c r="H24" s="95">
        <f t="shared" si="2"/>
        <v>2443392.8400000008</v>
      </c>
      <c r="I24" s="66"/>
      <c r="J24" s="66"/>
      <c r="K24" s="66"/>
    </row>
    <row r="25" spans="1:11" x14ac:dyDescent="0.2">
      <c r="A25" s="7">
        <v>54101</v>
      </c>
      <c r="B25" s="4" t="s">
        <v>12</v>
      </c>
      <c r="C25" s="101">
        <v>68030</v>
      </c>
      <c r="D25" s="101">
        <v>12605.84</v>
      </c>
      <c r="E25" s="106">
        <f t="shared" ref="E25:E42" si="3">+C25+D25</f>
        <v>80635.839999999997</v>
      </c>
      <c r="F25" s="106">
        <v>67979.83</v>
      </c>
      <c r="G25" s="106">
        <v>2332.5</v>
      </c>
      <c r="H25" s="107">
        <f t="shared" si="0"/>
        <v>10323.509999999995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-291.77</v>
      </c>
      <c r="E26" s="106">
        <f t="shared" si="3"/>
        <v>708.23</v>
      </c>
      <c r="F26" s="106">
        <v>458.23</v>
      </c>
      <c r="G26" s="106">
        <v>0</v>
      </c>
      <c r="H26" s="107">
        <f t="shared" si="0"/>
        <v>250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5200.13</v>
      </c>
      <c r="E27" s="106">
        <f t="shared" si="3"/>
        <v>55045.13</v>
      </c>
      <c r="F27" s="106">
        <v>17476.09</v>
      </c>
      <c r="G27" s="106">
        <v>204.04</v>
      </c>
      <c r="H27" s="107">
        <f t="shared" si="0"/>
        <v>37364.999999999993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3657.22</v>
      </c>
      <c r="E28" s="106">
        <f t="shared" si="3"/>
        <v>27332.22</v>
      </c>
      <c r="F28" s="106">
        <v>23215.72</v>
      </c>
      <c r="G28" s="106">
        <v>116.5</v>
      </c>
      <c r="H28" s="107">
        <f t="shared" si="0"/>
        <v>4000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674.65</v>
      </c>
      <c r="E30" s="106">
        <f t="shared" si="3"/>
        <v>12774.65</v>
      </c>
      <c r="F30" s="106">
        <v>12074.42</v>
      </c>
      <c r="G30" s="106">
        <v>0.23</v>
      </c>
      <c r="H30" s="107">
        <f t="shared" si="0"/>
        <v>699.99999999999955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20</v>
      </c>
      <c r="H33" s="107">
        <f t="shared" si="0"/>
        <v>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563.57000000000005</v>
      </c>
      <c r="E35" s="106">
        <f t="shared" si="3"/>
        <v>1963.5700000000002</v>
      </c>
      <c r="F35" s="106">
        <v>1390.98</v>
      </c>
      <c r="G35" s="106">
        <v>128.41999999999999</v>
      </c>
      <c r="H35" s="107">
        <f t="shared" si="0"/>
        <v>444.17000000000019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789.38</v>
      </c>
      <c r="G36" s="106">
        <v>482</v>
      </c>
      <c r="H36" s="107">
        <f t="shared" si="0"/>
        <v>275.00000000000011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832.7</v>
      </c>
      <c r="E37" s="106">
        <f t="shared" si="3"/>
        <v>6412.7</v>
      </c>
      <c r="F37" s="106">
        <v>6412.69</v>
      </c>
      <c r="G37" s="106">
        <v>0.01</v>
      </c>
      <c r="H37" s="107">
        <f t="shared" si="0"/>
        <v>2.1827852025868566E-13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733.5</v>
      </c>
      <c r="E38" s="106">
        <f t="shared" si="3"/>
        <v>12933.5</v>
      </c>
      <c r="F38" s="106">
        <v>12537.7</v>
      </c>
      <c r="G38" s="106">
        <v>45.8</v>
      </c>
      <c r="H38" s="107">
        <f t="shared" si="0"/>
        <v>349.99999999999926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719.44</v>
      </c>
      <c r="E40" s="106">
        <f t="shared" si="3"/>
        <v>2319.44</v>
      </c>
      <c r="F40" s="106">
        <v>2037.64</v>
      </c>
      <c r="G40" s="106">
        <v>31.8</v>
      </c>
      <c r="H40" s="107">
        <f t="shared" si="0"/>
        <v>249.99999999999994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2116.42</v>
      </c>
      <c r="E41" s="106">
        <f t="shared" si="3"/>
        <v>4216.42</v>
      </c>
      <c r="F41" s="106">
        <v>3150.22</v>
      </c>
      <c r="G41" s="106">
        <v>66.2</v>
      </c>
      <c r="H41" s="107">
        <f t="shared" si="0"/>
        <v>1000.0000000000002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29164.29</v>
      </c>
      <c r="E42" s="106">
        <f t="shared" si="3"/>
        <v>486983.29</v>
      </c>
      <c r="F42" s="106">
        <v>463952.77</v>
      </c>
      <c r="G42" s="106">
        <v>4874.2299999999996</v>
      </c>
      <c r="H42" s="111">
        <f t="shared" si="0"/>
        <v>18156.289999999961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53816.680000000008</v>
      </c>
      <c r="E43" s="46">
        <f>SUM(E25:E42)</f>
        <v>757365.67999999993</v>
      </c>
      <c r="F43" s="46">
        <f>SUM(F25:F42)</f>
        <v>666149.98</v>
      </c>
      <c r="G43" s="46">
        <f>SUM(G25:G42)</f>
        <v>8301.73</v>
      </c>
      <c r="H43" s="47">
        <f t="shared" si="0"/>
        <v>82913.969999999958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76.41</v>
      </c>
      <c r="E47" s="106">
        <f t="shared" ref="E47:E50" si="4">+C47+D47</f>
        <v>178911.41</v>
      </c>
      <c r="F47" s="106">
        <v>127294.3</v>
      </c>
      <c r="G47" s="106">
        <v>2966.88</v>
      </c>
      <c r="H47" s="113">
        <f t="shared" si="0"/>
        <v>48650.23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-6143.41</v>
      </c>
      <c r="E48" s="106">
        <f t="shared" si="4"/>
        <v>36456.589999999997</v>
      </c>
      <c r="F48" s="106">
        <v>14652.19</v>
      </c>
      <c r="G48" s="106">
        <v>6808.16</v>
      </c>
      <c r="H48" s="107">
        <f t="shared" si="0"/>
        <v>14996.239999999994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116036.1</v>
      </c>
      <c r="G49" s="106">
        <v>6698.15</v>
      </c>
      <c r="H49" s="111">
        <f t="shared" si="0"/>
        <v>25626.35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-886.69</v>
      </c>
      <c r="E50" s="106">
        <f t="shared" si="4"/>
        <v>313.30999999999995</v>
      </c>
      <c r="F50" s="106">
        <v>63.31</v>
      </c>
      <c r="G50" s="106">
        <v>0</v>
      </c>
      <c r="H50" s="114">
        <f t="shared" si="0"/>
        <v>249.99999999999994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-7083.09</v>
      </c>
      <c r="E51" s="30">
        <f>SUM(E47:E50)</f>
        <v>364041.91</v>
      </c>
      <c r="F51" s="30">
        <f>SUM(F47:F50)</f>
        <v>258045.9</v>
      </c>
      <c r="G51" s="30">
        <f>SUM(G47:G50)</f>
        <v>16473.190000000002</v>
      </c>
      <c r="H51" s="33">
        <f t="shared" si="0"/>
        <v>89522.819999999978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-11912.94</v>
      </c>
      <c r="E52" s="106">
        <f t="shared" ref="E52:E63" si="5">+C52+D52</f>
        <v>18647.059999999998</v>
      </c>
      <c r="F52" s="106">
        <v>16150.76</v>
      </c>
      <c r="G52" s="106">
        <v>520.36</v>
      </c>
      <c r="H52" s="114">
        <f t="shared" si="0"/>
        <v>1975.9399999999973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-1113.93</v>
      </c>
      <c r="E53" s="106">
        <f t="shared" si="5"/>
        <v>61886.07</v>
      </c>
      <c r="F53" s="106">
        <v>45967.03</v>
      </c>
      <c r="G53" s="106">
        <v>1412.2</v>
      </c>
      <c r="H53" s="107">
        <f t="shared" si="0"/>
        <v>14506.84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-48781.49</v>
      </c>
      <c r="E55" s="106">
        <f t="shared" si="5"/>
        <v>35418.51</v>
      </c>
      <c r="F55" s="106">
        <v>2588.08</v>
      </c>
      <c r="G55" s="106">
        <v>0</v>
      </c>
      <c r="H55" s="114">
        <f t="shared" si="0"/>
        <v>32830.43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120.32</v>
      </c>
      <c r="H57" s="114">
        <f t="shared" si="0"/>
        <v>120.32000000000033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-197.18</v>
      </c>
      <c r="E58" s="106">
        <f t="shared" si="5"/>
        <v>2302.8200000000002</v>
      </c>
      <c r="F58" s="106">
        <v>1893.2</v>
      </c>
      <c r="G58" s="106">
        <v>409.62</v>
      </c>
      <c r="H58" s="114">
        <f t="shared" si="0"/>
        <v>0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-6934.2</v>
      </c>
      <c r="E59" s="106">
        <f t="shared" si="5"/>
        <v>17465.8</v>
      </c>
      <c r="F59" s="106">
        <v>11829.3</v>
      </c>
      <c r="G59" s="106">
        <v>128.5</v>
      </c>
      <c r="H59" s="114">
        <f t="shared" si="0"/>
        <v>5508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11959.31</v>
      </c>
      <c r="E60" s="106">
        <f t="shared" si="5"/>
        <v>40059.31</v>
      </c>
      <c r="F60" s="106">
        <v>18184.41</v>
      </c>
      <c r="G60" s="106">
        <v>2321.9</v>
      </c>
      <c r="H60" s="114">
        <f t="shared" si="0"/>
        <v>19552.999999999996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1445.62</v>
      </c>
      <c r="E61" s="106">
        <f t="shared" si="5"/>
        <v>25445.62</v>
      </c>
      <c r="F61" s="106">
        <v>25359.59</v>
      </c>
      <c r="G61" s="106">
        <v>12.29</v>
      </c>
      <c r="H61" s="114">
        <f t="shared" si="0"/>
        <v>73.739999999998844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3.54</v>
      </c>
      <c r="H62" s="114">
        <f t="shared" si="0"/>
        <v>3.5399999999580904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5097.8</v>
      </c>
      <c r="E63" s="106">
        <f t="shared" si="5"/>
        <v>52177.8</v>
      </c>
      <c r="F63" s="106">
        <v>48296.160000000003</v>
      </c>
      <c r="G63" s="106">
        <v>955.34</v>
      </c>
      <c r="H63" s="114">
        <f t="shared" si="0"/>
        <v>2926.2999999999993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-46025.609999999993</v>
      </c>
      <c r="E64" s="30">
        <f>SUM(E52:E63)</f>
        <v>853094.39</v>
      </c>
      <c r="F64" s="30">
        <f>SUM(F52:F63)</f>
        <v>765712.21000000008</v>
      </c>
      <c r="G64" s="30">
        <f>SUM(G52:G63)</f>
        <v>5884.07</v>
      </c>
      <c r="H64" s="33">
        <f t="shared" si="0"/>
        <v>81498.109999999928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12675.35</v>
      </c>
      <c r="E65" s="106">
        <f t="shared" ref="E65:E67" si="6">+C65+D65</f>
        <v>20675.349999999999</v>
      </c>
      <c r="F65" s="106">
        <v>18675.349999999999</v>
      </c>
      <c r="G65" s="101">
        <v>0</v>
      </c>
      <c r="H65" s="114">
        <f t="shared" si="0"/>
        <v>2000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687</v>
      </c>
      <c r="E66" s="106">
        <f t="shared" si="6"/>
        <v>12147</v>
      </c>
      <c r="F66" s="106">
        <v>5590</v>
      </c>
      <c r="G66" s="106">
        <v>2381</v>
      </c>
      <c r="H66" s="114">
        <f t="shared" si="0"/>
        <v>4176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11355</v>
      </c>
      <c r="E67" s="106">
        <f t="shared" si="6"/>
        <v>31355</v>
      </c>
      <c r="F67" s="106">
        <v>26155</v>
      </c>
      <c r="G67" s="106">
        <v>200</v>
      </c>
      <c r="H67" s="114">
        <f t="shared" si="0"/>
        <v>5000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24717.35</v>
      </c>
      <c r="E68" s="30">
        <f>SUM(E65:E67)</f>
        <v>64177.35</v>
      </c>
      <c r="F68" s="30">
        <f>SUM(F65:F67)</f>
        <v>50420.35</v>
      </c>
      <c r="G68" s="30">
        <f>SUM(G65:G67)</f>
        <v>2581</v>
      </c>
      <c r="H68" s="33">
        <f t="shared" si="0"/>
        <v>11176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-27974.799999999999</v>
      </c>
      <c r="E70" s="106">
        <f t="shared" si="7"/>
        <v>8025.2000000000007</v>
      </c>
      <c r="F70" s="106">
        <v>0</v>
      </c>
      <c r="G70" s="106">
        <v>395.5</v>
      </c>
      <c r="H70" s="114">
        <f t="shared" si="0"/>
        <v>7629.7000000000007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-25425.329999999998</v>
      </c>
      <c r="E71" s="30">
        <f>SUM(E69:E70)</f>
        <v>12574.67</v>
      </c>
      <c r="F71" s="30">
        <f>SUM(F69:F70)</f>
        <v>4549.47</v>
      </c>
      <c r="G71" s="30">
        <f>SUM(G69:G70)</f>
        <v>395.5</v>
      </c>
      <c r="H71" s="114">
        <f t="shared" si="0"/>
        <v>7629.7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1744877.91</v>
      </c>
      <c r="G72" s="90">
        <f>+G71+G68+G64+G51+G43</f>
        <v>33635.490000000005</v>
      </c>
      <c r="H72" s="97">
        <f t="shared" si="0"/>
        <v>272740.60000000009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f>-11150.5-3195.17</f>
        <v>-14345.67</v>
      </c>
      <c r="E75" s="106">
        <f t="shared" ref="E75:E77" si="9">+C75+D75</f>
        <v>132654.32999999999</v>
      </c>
      <c r="F75" s="106">
        <v>35284.28</v>
      </c>
      <c r="G75" s="106"/>
      <c r="H75" s="114">
        <f t="shared" si="8"/>
        <v>97370.049999999988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4768.6899999999996</v>
      </c>
      <c r="H76" s="114">
        <f t="shared" si="8"/>
        <v>63.460000000001855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-18508.53</v>
      </c>
      <c r="E78" s="30">
        <f>SUM(E75:E77)</f>
        <v>176516.46999999997</v>
      </c>
      <c r="F78" s="30">
        <f>SUM(F75:F77)</f>
        <v>74314.26999999999</v>
      </c>
      <c r="G78" s="30">
        <f>SUM(G75:G77)</f>
        <v>4768.6899999999996</v>
      </c>
      <c r="H78" s="33">
        <f>+E78-F78-G78</f>
        <v>97433.50999999998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-14245.169999999998</v>
      </c>
      <c r="E81" s="76">
        <f t="shared" si="12"/>
        <v>184179.83</v>
      </c>
      <c r="F81" s="83">
        <f>+F74+F78+F80</f>
        <v>81977.62999999999</v>
      </c>
      <c r="G81" s="90">
        <f>+G74+G78</f>
        <v>4768.6899999999996</v>
      </c>
      <c r="H81" s="97">
        <f>+E81-F81-G81</f>
        <v>97433.51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2000</v>
      </c>
      <c r="H82" s="114">
        <f t="shared" si="8"/>
        <v>2000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2000</v>
      </c>
      <c r="H84" s="33">
        <f t="shared" si="8"/>
        <v>2000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5144.68</v>
      </c>
      <c r="G85" s="101">
        <v>355.32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5144.68</v>
      </c>
      <c r="G86" s="51">
        <f>SUM(G85)</f>
        <v>355.32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5144.68</v>
      </c>
      <c r="G87" s="89">
        <f t="shared" si="14"/>
        <v>2355.3200000000002</v>
      </c>
      <c r="H87" s="98">
        <f t="shared" si="14"/>
        <v>2000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f>4930.94+360.44</f>
        <v>5291.3799999999992</v>
      </c>
      <c r="E92" s="112">
        <f t="shared" ref="E92:E96" si="15">+C92+D92</f>
        <v>10291.379999999999</v>
      </c>
      <c r="F92" s="112">
        <v>10224.879999999999</v>
      </c>
      <c r="G92" s="117">
        <v>0</v>
      </c>
      <c r="H92" s="113">
        <f t="shared" si="8"/>
        <v>66.5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f>-8474.08+1202.91</f>
        <v>-7271.17</v>
      </c>
      <c r="E93" s="106">
        <f t="shared" si="15"/>
        <v>7728.83</v>
      </c>
      <c r="F93" s="106">
        <v>7728.83</v>
      </c>
      <c r="G93" s="108">
        <v>0</v>
      </c>
      <c r="H93" s="114">
        <f t="shared" si="8"/>
        <v>0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f>-500+55</f>
        <v>-445</v>
      </c>
      <c r="E94" s="106">
        <f t="shared" si="15"/>
        <v>55</v>
      </c>
      <c r="F94" s="106">
        <v>55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f>45194.71+385</f>
        <v>45579.71</v>
      </c>
      <c r="E95" s="106">
        <f t="shared" si="15"/>
        <v>60634.71</v>
      </c>
      <c r="F95" s="106">
        <v>60634.71</v>
      </c>
      <c r="G95" s="108">
        <v>0</v>
      </c>
      <c r="H95" s="114">
        <f t="shared" si="8"/>
        <v>0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45905.799999999996</v>
      </c>
      <c r="E97" s="30">
        <f>SUM(E92:E96)</f>
        <v>82460.800000000003</v>
      </c>
      <c r="F97" s="30">
        <f>SUM(F92:F96)</f>
        <v>82394.3</v>
      </c>
      <c r="G97" s="30">
        <f>SUM(G96)</f>
        <v>0</v>
      </c>
      <c r="H97" s="33">
        <f t="shared" si="8"/>
        <v>66.5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f>6896.43+1191.82</f>
        <v>8088.25</v>
      </c>
      <c r="E98" s="106">
        <f>+C98+D98</f>
        <v>8088.25</v>
      </c>
      <c r="F98" s="101">
        <v>8088.25</v>
      </c>
      <c r="G98" s="101">
        <v>0</v>
      </c>
      <c r="H98" s="114">
        <f t="shared" si="8"/>
        <v>0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8088.25</v>
      </c>
      <c r="E99" s="73">
        <f>+E98</f>
        <v>8088.25</v>
      </c>
      <c r="F99" s="73">
        <f>+F98</f>
        <v>8088.25</v>
      </c>
      <c r="G99" s="73">
        <f>SUM(G98)</f>
        <v>0</v>
      </c>
      <c r="H99" s="180">
        <f t="shared" si="8"/>
        <v>0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53994.049999999996</v>
      </c>
      <c r="E100" s="80">
        <f>+E99+E97</f>
        <v>90549.05</v>
      </c>
      <c r="F100" s="85">
        <f>+F99+F97</f>
        <v>90482.55</v>
      </c>
      <c r="G100" s="87">
        <v>0</v>
      </c>
      <c r="H100" s="99">
        <f>+H99+H97</f>
        <v>66.5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7133856.5600000005</v>
      </c>
      <c r="G101" s="88">
        <f>+G24+G72+G81+G100+G87</f>
        <v>237913.99</v>
      </c>
      <c r="H101" s="100">
        <f>+E101-F101-G101</f>
        <v>2815633.4500000011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headerFooter>
    <oddFooter>&amp;C&amp;F
&amp;A&amp;R&amp;P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4 D A A B Q S w M E F A A C A A g A 6 3 U w T E S Q i K W m A A A A + Q A A A B I A H A B D b 2 5 m a W c v U G F j a 2 F n Z S 5 4 b W w g o h g A K K A U A A A A A A A A A A A A A A A A A A A A A A A A A A A A h Y + 9 D o I w G E V f h X S n P 4 j G k I 8 y u E p i Q k J c m 1 K h E Y q h x f J u D j 6 S r y C J Y t g c 7 8 k Z z n 0 9 n p B N X R v c 1 W B 1 b 1 L E M E W B M r K v t K l T N L p L u E c Z h 5 O Q V 1 G r Y J a N T S Z b p a h x 7 p Y Q 4 r 3 H f o P 7 o S Y R p Y y c 8 2 M h G 9 U J 9 J P 1 f z n U x j p h p E I c y k 8 M j 3 A U 4 5 j u t p j F l A F Z O O T a r J w 5 G V M g K w i H s X X j o L i y Y V E C W S a Q 7 w 3 + B l B L A w Q U A A I A C A D r d T B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3 U w T D 6 Z o 6 r W A A A A O Q E A A B M A H A B G b 3 J t d W x h c y 9 T Z W N 0 a W 9 u M S 5 t I K I Y A C i g F A A A A A A A A A A A A A A A A A A A A A A A A A A A A G 2 O Q Y u D M B C F 7 4 L / I W Q v L Y g g l L 2 U H m y U E q i m t I E e i o d o Z 7 d B z Z S Y w i 7 i f 9 8 U b 9 v O Z W D e 9 9 6 b A R q n 0 Z D T v J N 1 G I T B c F M W r k S q u l M J 2 Z A O X B g Q P 8 L q b z D + k v 8 0 0 M X s Y S 0 Y d 0 b b 1 o j t Y j l e S t X D h s 5 O W k 0 X h s Z 5 p I r m g A 8 q 9 R 1 J o / p a q y t S H / V k I Z Z W m e E L b c + w e / R G / t 5 h W M x 1 0 T j S w 1 H s j m m R Z o J G h B v 3 u Y q f y B S R k W b 8 d B A l 3 / I 9 z 9 L s V W e i 8 P Y i l / y d m 4 l y l + / T g u e l / C d P y z D Q 5 v 3 j 6 z 9 Q S w E C L Q A U A A I A C A D r d T B M R J C I p a Y A A A D 5 A A A A E g A A A A A A A A A A A A A A A A A A A A A A Q 2 9 u Z m l n L 1 B h Y 2 t h Z 2 U u e G 1 s U E s B A i 0 A F A A C A A g A 6 3 U w T A / K 6 a u k A A A A 6 Q A A A B M A A A A A A A A A A A A A A A A A 8 g A A A F t D b 2 5 0 Z W 5 0 X 1 R 5 c G V z X S 5 4 b W x Q S w E C L Q A U A A I A C A D r d T B M P p m j q t Y A A A A 5 A Q A A E w A A A A A A A A A A A A A A A A D j A Q A A R m 9 y b X V s Y X M v U 2 V j d G l v b j E u b V B L B Q Y A A A A A A w A D A M I A A A A G A w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6 d C Q A A A A A A A H s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E i I C 8 + P E V u d H J 5 I F R 5 c G U 9 I k Z p b G x F c n J v c k N v d W 5 0 I i B W Y W x 1 Z T 0 i b D A i I C 8 + P E V u d H J 5 I F R 5 c G U 9 I k Z p b G x D b 2 x 1 b W 5 U e X B l c y I g V m F s d W U 9 I n N B d 0 1 E Q X c 9 P S I g L z 4 8 R W 5 0 c n k g V H l w Z T 0 i R m l s b E N v b H V t b k 5 h b W V z I i B W Y W x 1 Z T 0 i c 1 s m c X V v d D t Q U k 9 H U k F N Q U R P J n F 1 b 3 Q 7 L C Z x d W 9 0 O 0 R J U 1 B P T k l C S U x J R E F E J n F 1 b 3 Q 7 L C Z x d W 9 0 O 0 N P T V B S T 0 1 F V E l E T y Z x d W 9 0 O y w m c X V v d D t D T 0 5 H R U x B T U l F T l R P J n F 1 b 3 Q 7 X S I g L z 4 8 R W 5 0 c n k g V H l w Z T 0 i R m l s b E V y c m 9 y Q 2 9 k Z S I g V m F s d W U 9 I n N V b m t u b 3 d u I i A v P j x F b n R y e S B U e X B l P S J G a W x s T G F z d F V w Z G F 0 Z W Q i I F Z h b H V l P S J k M j A x O C 0 w M S 0 x N l Q y M D o 0 N T o 0 N y 4 2 M T Y 2 N z Q x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S G 9 q Y T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S 9 U a X B v I G N h b W J p Y W R v L n t Q U k 9 H U k F N Q U R P L D B 9 J n F 1 b 3 Q 7 L C Z x d W 9 0 O 1 N l Y 3 R p b 2 4 x L 1 R h Y m x h M S 9 U a X B v I G N h b W J p Y W R v L n t E S V N Q T 0 5 J Q k l M S U R B R C w x f S Z x d W 9 0 O y w m c X V v d D t T Z W N 0 a W 9 u M S 9 U Y W J s Y T E v V G l w b y B j Y W 1 i a W F k b y 5 7 Q 0 9 N U F J P T U V U S U R P L D J 9 J n F 1 b 3 Q 7 L C Z x d W 9 0 O 1 N l Y 3 R p b 2 4 x L 1 R h Y m x h M S 9 U a X B v I G N h b W J p Y W R v L n t D T 0 5 H R U x B T U l F T l R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h M S 9 U a X B v I G N h b W J p Y W R v L n t Q U k 9 H U k F N Q U R P L D B 9 J n F 1 b 3 Q 7 L C Z x d W 9 0 O 1 N l Y 3 R p b 2 4 x L 1 R h Y m x h M S 9 U a X B v I G N h b W J p Y W R v L n t E S V N Q T 0 5 J Q k l M S U R B R C w x f S Z x d W 9 0 O y w m c X V v d D t T Z W N 0 a W 9 u M S 9 U Y W J s Y T E v V G l w b y B j Y W 1 i a W F k b y 5 7 Q 0 9 N U F J P T U V U S U R P L D J 9 J n F 1 b 3 Q 7 L C Z x d W 9 0 O 1 N l Y 3 R p b 2 4 x L 1 R h Y m x h M S 9 U a X B v I G N h b W J p Y W R v L n t D T 0 5 H R U x B T U l F T l R P L D N 9 J n F 1 b 3 Q 7 X S w m c X V v d D t S Z W x h d G l v b n N o a X B J b m Z v J n F 1 b 3 Q 7 O l t d f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D 6 t S I V Y 9 s T J K 2 S F 2 G 3 i Z 7 A A A A A A I A A A A A A B B m A A A A A Q A A I A A A A J B h V P N B X J X Q V 4 7 H m c U H E W x 3 y L T 3 P + 6 n a B M 5 P x / 0 j t / C A A A A A A 6 A A A A A A g A A I A A A A N V R B s h + Q b c u h t D w 7 0 m Y a 0 0 y I P q o p U 1 w O l I d u i 1 6 l E u u U A A A A M x v Z T H h E Q M i J X 5 t 8 L a w O + n U B 9 f u h L V e o 9 o J 2 T y E W M O w y E N X m A o Y q i A R L m M X Z T y T 0 5 y + l w m a J Y y R b 4 Y I d p t M H d n 6 m 0 0 Z K R K w y A C u K W f o x U f V Q A A A A F z A m m s 0 m w L Q w T Z w M w c s / L A u 3 E G q o e E I H 3 Q k w z U 5 / e c 4 c 0 + x T Q I 9 d 8 N s J U C 0 X o t G 6 6 D / G a z Y M G A O I H B d C B Y R b u I = < / D a t a M a s h u p > 
</file>

<file path=customXml/itemProps1.xml><?xml version="1.0" encoding="utf-8"?>
<ds:datastoreItem xmlns:ds="http://schemas.openxmlformats.org/officeDocument/2006/customXml" ds:itemID="{6183404A-F868-47F8-9D7F-27CCB1B69C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EJECUCION ENE -19 </vt:lpstr>
      <vt:lpstr>EJECUCION FEB - 19</vt:lpstr>
      <vt:lpstr>EJECUCION MZO - 19</vt:lpstr>
      <vt:lpstr>EJECUCION ABR- 19</vt:lpstr>
      <vt:lpstr>EJECUCION MAY- 19 </vt:lpstr>
      <vt:lpstr>EJECUCION JUN- 19</vt:lpstr>
      <vt:lpstr>EJECUCION JUL-19</vt:lpstr>
      <vt:lpstr>EJECUCION AGO - 19</vt:lpstr>
      <vt:lpstr>EJECUCION SEPT - 19</vt:lpstr>
      <vt:lpstr>EJECUCION OCT - 19</vt:lpstr>
      <vt:lpstr>EJECUCION NOV - 19</vt:lpstr>
      <vt:lpstr>TOTAL_RUBRO......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xvalle</dc:creator>
  <cp:lastModifiedBy>Marcela Barahona</cp:lastModifiedBy>
  <cp:lastPrinted>2020-01-30T15:38:04Z</cp:lastPrinted>
  <dcterms:created xsi:type="dcterms:W3CDTF">2006-12-01T17:07:18Z</dcterms:created>
  <dcterms:modified xsi:type="dcterms:W3CDTF">2020-07-29T02:53:47Z</dcterms:modified>
</cp:coreProperties>
</file>