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 firstSheet="8" activeTab="3"/>
  </bookViews>
  <sheets>
    <sheet name="EJECUCION ENE 2020" sheetId="1" r:id="rId1"/>
    <sheet name="EJECUCION FEB 2020" sheetId="2" r:id="rId2"/>
    <sheet name="EJECUCION MAR 2020" sheetId="4" r:id="rId3"/>
    <sheet name="EJECUCION ABR 2020" sheetId="5" r:id="rId4"/>
    <sheet name="EJECUCION MAYO 2020" sheetId="6" r:id="rId5"/>
    <sheet name="EJECUCION JUNIO 2020" sheetId="7" r:id="rId6"/>
    <sheet name="EJECUCION JULIO 2020" sheetId="8" r:id="rId7"/>
    <sheet name="EJECUCION AGOSTO 2020" sheetId="9" r:id="rId8"/>
    <sheet name="EJECUCION SEPTIEMBRE 2020" sheetId="10" r:id="rId9"/>
    <sheet name="EJECUCION OCTUBRE 2020 " sheetId="11" r:id="rId10"/>
    <sheet name="EJECUCION NOVIEMBRE 2020 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2" l="1"/>
  <c r="G101" i="12"/>
  <c r="G102" i="12" s="1"/>
  <c r="F101" i="12"/>
  <c r="D101" i="12"/>
  <c r="D102" i="12" s="1"/>
  <c r="C101" i="12"/>
  <c r="E100" i="12"/>
  <c r="H100" i="12" s="1"/>
  <c r="G99" i="12"/>
  <c r="F99" i="12"/>
  <c r="D99" i="12"/>
  <c r="C99" i="12"/>
  <c r="C102" i="12" s="1"/>
  <c r="E98" i="12"/>
  <c r="E97" i="12"/>
  <c r="H97" i="12" s="1"/>
  <c r="H96" i="12"/>
  <c r="E96" i="12"/>
  <c r="E95" i="12"/>
  <c r="H95" i="12" s="1"/>
  <c r="H94" i="12"/>
  <c r="E94" i="12"/>
  <c r="H93" i="12"/>
  <c r="E93" i="12"/>
  <c r="E99" i="12" s="1"/>
  <c r="H92" i="12"/>
  <c r="E92" i="12"/>
  <c r="G86" i="12"/>
  <c r="F86" i="12"/>
  <c r="C86" i="12"/>
  <c r="G85" i="12"/>
  <c r="F85" i="12"/>
  <c r="D85" i="12"/>
  <c r="C85" i="12"/>
  <c r="H84" i="12"/>
  <c r="E84" i="12"/>
  <c r="E85" i="12" s="1"/>
  <c r="H85" i="12" s="1"/>
  <c r="G83" i="12"/>
  <c r="F83" i="12"/>
  <c r="D83" i="12"/>
  <c r="D86" i="12" s="1"/>
  <c r="C83" i="12"/>
  <c r="E82" i="12"/>
  <c r="E83" i="12" s="1"/>
  <c r="H81" i="12"/>
  <c r="E81" i="12"/>
  <c r="G80" i="12"/>
  <c r="F80" i="12"/>
  <c r="C80" i="12"/>
  <c r="G79" i="12"/>
  <c r="F79" i="12"/>
  <c r="D79" i="12"/>
  <c r="C79" i="12"/>
  <c r="E78" i="12"/>
  <c r="H78" i="12" s="1"/>
  <c r="H77" i="12"/>
  <c r="E77" i="12"/>
  <c r="E76" i="12"/>
  <c r="E79" i="12" s="1"/>
  <c r="G75" i="12"/>
  <c r="F75" i="12"/>
  <c r="D75" i="12"/>
  <c r="D80" i="12" s="1"/>
  <c r="C75" i="12"/>
  <c r="E74" i="12"/>
  <c r="E75" i="12" s="1"/>
  <c r="H75" i="12" s="1"/>
  <c r="F72" i="12"/>
  <c r="F73" i="12" s="1"/>
  <c r="D72" i="12"/>
  <c r="C72" i="12"/>
  <c r="C73" i="12" s="1"/>
  <c r="H71" i="12"/>
  <c r="G71" i="12"/>
  <c r="E71" i="12"/>
  <c r="G70" i="12"/>
  <c r="G72" i="12" s="1"/>
  <c r="E70" i="12"/>
  <c r="E72" i="12" s="1"/>
  <c r="F69" i="12"/>
  <c r="D69" i="12"/>
  <c r="C69" i="12"/>
  <c r="H68" i="12"/>
  <c r="E68" i="12"/>
  <c r="G67" i="12"/>
  <c r="G69" i="12" s="1"/>
  <c r="E67" i="12"/>
  <c r="H67" i="12" s="1"/>
  <c r="G66" i="12"/>
  <c r="E66" i="12"/>
  <c r="E69" i="12" s="1"/>
  <c r="F65" i="12"/>
  <c r="D65" i="12"/>
  <c r="D73" i="12" s="1"/>
  <c r="C65" i="12"/>
  <c r="E64" i="12"/>
  <c r="H64" i="12" s="1"/>
  <c r="E63" i="12"/>
  <c r="H63" i="12" s="1"/>
  <c r="E62" i="12"/>
  <c r="H62" i="12" s="1"/>
  <c r="H61" i="12"/>
  <c r="G61" i="12"/>
  <c r="E61" i="12"/>
  <c r="G60" i="12"/>
  <c r="E60" i="12"/>
  <c r="E59" i="12"/>
  <c r="H59" i="12" s="1"/>
  <c r="E58" i="12"/>
  <c r="H58" i="12" s="1"/>
  <c r="E57" i="12"/>
  <c r="H57" i="12" s="1"/>
  <c r="E56" i="12"/>
  <c r="H56" i="12" s="1"/>
  <c r="E55" i="12"/>
  <c r="H55" i="12" s="1"/>
  <c r="H54" i="12"/>
  <c r="E54" i="12"/>
  <c r="E53" i="12"/>
  <c r="F52" i="12"/>
  <c r="D52" i="12"/>
  <c r="C52" i="12"/>
  <c r="E51" i="12"/>
  <c r="H51" i="12" s="1"/>
  <c r="H50" i="12"/>
  <c r="E50" i="12"/>
  <c r="E49" i="12"/>
  <c r="E52" i="12" s="1"/>
  <c r="H48" i="12"/>
  <c r="G48" i="12"/>
  <c r="G52" i="12" s="1"/>
  <c r="E48" i="12"/>
  <c r="F43" i="12"/>
  <c r="D43" i="12"/>
  <c r="C43" i="12"/>
  <c r="G42" i="12"/>
  <c r="E42" i="12"/>
  <c r="H42" i="12" s="1"/>
  <c r="E41" i="12"/>
  <c r="H41" i="12" s="1"/>
  <c r="E40" i="12"/>
  <c r="H40" i="12" s="1"/>
  <c r="E39" i="12"/>
  <c r="H39" i="12" s="1"/>
  <c r="E38" i="12"/>
  <c r="H38" i="12" s="1"/>
  <c r="H37" i="12"/>
  <c r="E37" i="12"/>
  <c r="E36" i="12"/>
  <c r="H36" i="12" s="1"/>
  <c r="E35" i="12"/>
  <c r="H35" i="12" s="1"/>
  <c r="E34" i="12"/>
  <c r="H34" i="12" s="1"/>
  <c r="G33" i="12"/>
  <c r="E33" i="12"/>
  <c r="H33" i="12" s="1"/>
  <c r="E32" i="12"/>
  <c r="H32" i="12" s="1"/>
  <c r="E31" i="12"/>
  <c r="H31" i="12" s="1"/>
  <c r="E30" i="12"/>
  <c r="H30" i="12" s="1"/>
  <c r="G29" i="12"/>
  <c r="E29" i="12"/>
  <c r="H29" i="12" s="1"/>
  <c r="G28" i="12"/>
  <c r="E28" i="12"/>
  <c r="H28" i="12" s="1"/>
  <c r="G27" i="12"/>
  <c r="G43" i="12" s="1"/>
  <c r="E27" i="12"/>
  <c r="E26" i="12"/>
  <c r="H26" i="12" s="1"/>
  <c r="H25" i="12"/>
  <c r="G25" i="12"/>
  <c r="E25" i="12"/>
  <c r="F24" i="12"/>
  <c r="F103" i="12" s="1"/>
  <c r="D24" i="12"/>
  <c r="C24" i="12"/>
  <c r="G23" i="12"/>
  <c r="E23" i="12"/>
  <c r="H23" i="12" s="1"/>
  <c r="H22" i="12"/>
  <c r="G22" i="12"/>
  <c r="E22" i="12"/>
  <c r="G21" i="12"/>
  <c r="E21" i="12"/>
  <c r="G20" i="12"/>
  <c r="E20" i="12"/>
  <c r="H20" i="12" s="1"/>
  <c r="G19" i="12"/>
  <c r="E19" i="12"/>
  <c r="H19" i="12" s="1"/>
  <c r="G18" i="12"/>
  <c r="E18" i="12"/>
  <c r="H18" i="12" s="1"/>
  <c r="G17" i="12"/>
  <c r="H17" i="12" s="1"/>
  <c r="E17" i="12"/>
  <c r="G16" i="12"/>
  <c r="E16" i="12"/>
  <c r="H16" i="12" s="1"/>
  <c r="E15" i="12"/>
  <c r="H15" i="12" s="1"/>
  <c r="E14" i="12"/>
  <c r="H14" i="12" s="1"/>
  <c r="G13" i="12"/>
  <c r="E13" i="12"/>
  <c r="H13" i="12" s="1"/>
  <c r="H12" i="12"/>
  <c r="G12" i="12"/>
  <c r="E12" i="12"/>
  <c r="E11" i="12"/>
  <c r="H11" i="12" s="1"/>
  <c r="G10" i="12"/>
  <c r="E10" i="12"/>
  <c r="H10" i="12" s="1"/>
  <c r="H60" i="12" l="1"/>
  <c r="E43" i="12"/>
  <c r="H43" i="12" s="1"/>
  <c r="E65" i="12"/>
  <c r="H99" i="12"/>
  <c r="H21" i="12"/>
  <c r="H79" i="12"/>
  <c r="E80" i="12"/>
  <c r="H80" i="12" s="1"/>
  <c r="D103" i="12"/>
  <c r="H24" i="12"/>
  <c r="H52" i="12"/>
  <c r="H83" i="12"/>
  <c r="H86" i="12" s="1"/>
  <c r="E86" i="12"/>
  <c r="H69" i="12"/>
  <c r="C103" i="12"/>
  <c r="E73" i="12"/>
  <c r="H72" i="12"/>
  <c r="G24" i="12"/>
  <c r="H27" i="12"/>
  <c r="E24" i="12"/>
  <c r="H49" i="12"/>
  <c r="H53" i="12"/>
  <c r="H74" i="12"/>
  <c r="H76" i="12"/>
  <c r="H82" i="12"/>
  <c r="E101" i="12"/>
  <c r="G65" i="12"/>
  <c r="H66" i="12"/>
  <c r="H70" i="12"/>
  <c r="G102" i="11"/>
  <c r="F102" i="11"/>
  <c r="C102" i="11"/>
  <c r="C103" i="11" s="1"/>
  <c r="G101" i="11"/>
  <c r="F101" i="11"/>
  <c r="D101" i="11"/>
  <c r="D102" i="11" s="1"/>
  <c r="C101" i="11"/>
  <c r="E100" i="11"/>
  <c r="E101" i="11" s="1"/>
  <c r="G99" i="11"/>
  <c r="F99" i="11"/>
  <c r="E99" i="11"/>
  <c r="D99" i="11"/>
  <c r="C99" i="11"/>
  <c r="E98" i="11"/>
  <c r="H97" i="11"/>
  <c r="E97" i="11"/>
  <c r="H96" i="11"/>
  <c r="E96" i="11"/>
  <c r="H95" i="11"/>
  <c r="E95" i="11"/>
  <c r="H94" i="11"/>
  <c r="E94" i="11"/>
  <c r="H93" i="11"/>
  <c r="E93" i="11"/>
  <c r="H92" i="11"/>
  <c r="H99" i="11" s="1"/>
  <c r="E92" i="11"/>
  <c r="G86" i="11"/>
  <c r="D86" i="11"/>
  <c r="C86" i="11"/>
  <c r="G85" i="11"/>
  <c r="F85" i="11"/>
  <c r="D85" i="11"/>
  <c r="C85" i="11"/>
  <c r="H84" i="11"/>
  <c r="E84" i="11"/>
  <c r="E85" i="11" s="1"/>
  <c r="H85" i="11" s="1"/>
  <c r="G83" i="11"/>
  <c r="F83" i="11"/>
  <c r="F86" i="11" s="1"/>
  <c r="D83" i="11"/>
  <c r="C83" i="11"/>
  <c r="H82" i="11"/>
  <c r="E82" i="11"/>
  <c r="E83" i="11" s="1"/>
  <c r="H81" i="11"/>
  <c r="E81" i="11"/>
  <c r="G80" i="11"/>
  <c r="D80" i="11"/>
  <c r="C80" i="11"/>
  <c r="G79" i="11"/>
  <c r="F79" i="11"/>
  <c r="F80" i="11" s="1"/>
  <c r="D79" i="11"/>
  <c r="C79" i="11"/>
  <c r="H78" i="11"/>
  <c r="E78" i="11"/>
  <c r="H77" i="11"/>
  <c r="E77" i="11"/>
  <c r="H76" i="11"/>
  <c r="E76" i="11"/>
  <c r="E79" i="11" s="1"/>
  <c r="G75" i="11"/>
  <c r="F75" i="11"/>
  <c r="D75" i="11"/>
  <c r="C75" i="11"/>
  <c r="H74" i="11"/>
  <c r="E74" i="11"/>
  <c r="E75" i="11" s="1"/>
  <c r="H75" i="11" s="1"/>
  <c r="F72" i="11"/>
  <c r="D72" i="11"/>
  <c r="D73" i="11" s="1"/>
  <c r="C72" i="11"/>
  <c r="C73" i="11" s="1"/>
  <c r="G71" i="11"/>
  <c r="E71" i="11"/>
  <c r="H71" i="11" s="1"/>
  <c r="G70" i="11"/>
  <c r="G72" i="11" s="1"/>
  <c r="E70" i="11"/>
  <c r="E72" i="11" s="1"/>
  <c r="F69" i="11"/>
  <c r="D69" i="11"/>
  <c r="C69" i="11"/>
  <c r="H68" i="11"/>
  <c r="E68" i="11"/>
  <c r="H67" i="11"/>
  <c r="G67" i="11"/>
  <c r="E67" i="11"/>
  <c r="G66" i="11"/>
  <c r="G69" i="11" s="1"/>
  <c r="E66" i="11"/>
  <c r="E69" i="11" s="1"/>
  <c r="H69" i="11" s="1"/>
  <c r="F65" i="11"/>
  <c r="F73" i="11" s="1"/>
  <c r="D65" i="11"/>
  <c r="C65" i="11"/>
  <c r="E64" i="11"/>
  <c r="H64" i="11" s="1"/>
  <c r="E63" i="11"/>
  <c r="H63" i="11" s="1"/>
  <c r="E62" i="11"/>
  <c r="H62" i="11" s="1"/>
  <c r="G61" i="11"/>
  <c r="E61" i="11"/>
  <c r="H61" i="11" s="1"/>
  <c r="G60" i="11"/>
  <c r="E60" i="11"/>
  <c r="E59" i="11"/>
  <c r="H59" i="11" s="1"/>
  <c r="E58" i="11"/>
  <c r="H58" i="11" s="1"/>
  <c r="E57" i="11"/>
  <c r="H57" i="11" s="1"/>
  <c r="E56" i="11"/>
  <c r="H56" i="11" s="1"/>
  <c r="E55" i="11"/>
  <c r="H55" i="11" s="1"/>
  <c r="E54" i="11"/>
  <c r="H54" i="11" s="1"/>
  <c r="E53" i="11"/>
  <c r="F52" i="11"/>
  <c r="D52" i="11"/>
  <c r="C52" i="11"/>
  <c r="H51" i="11"/>
  <c r="E51" i="11"/>
  <c r="H50" i="11"/>
  <c r="E50" i="11"/>
  <c r="H49" i="11"/>
  <c r="E49" i="11"/>
  <c r="G48" i="11"/>
  <c r="G52" i="11" s="1"/>
  <c r="E48" i="11"/>
  <c r="E52" i="11" s="1"/>
  <c r="F43" i="11"/>
  <c r="D43" i="11"/>
  <c r="C43" i="11"/>
  <c r="G42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G33" i="11"/>
  <c r="E33" i="11"/>
  <c r="H33" i="11" s="1"/>
  <c r="E32" i="11"/>
  <c r="H32" i="11" s="1"/>
  <c r="E31" i="11"/>
  <c r="H31" i="11" s="1"/>
  <c r="E30" i="11"/>
  <c r="H30" i="11" s="1"/>
  <c r="G29" i="11"/>
  <c r="E29" i="11"/>
  <c r="H29" i="11" s="1"/>
  <c r="G28" i="11"/>
  <c r="E28" i="11"/>
  <c r="H28" i="11" s="1"/>
  <c r="G27" i="11"/>
  <c r="H27" i="11" s="1"/>
  <c r="E27" i="11"/>
  <c r="H26" i="11"/>
  <c r="E26" i="11"/>
  <c r="G25" i="11"/>
  <c r="E25" i="11"/>
  <c r="F24" i="11"/>
  <c r="D24" i="11"/>
  <c r="C24" i="11"/>
  <c r="G23" i="11"/>
  <c r="E23" i="11"/>
  <c r="H23" i="11" s="1"/>
  <c r="G22" i="11"/>
  <c r="E22" i="11"/>
  <c r="H22" i="11" s="1"/>
  <c r="G21" i="11"/>
  <c r="E21" i="11"/>
  <c r="G20" i="11"/>
  <c r="E20" i="11"/>
  <c r="H20" i="11" s="1"/>
  <c r="G19" i="11"/>
  <c r="E19" i="11"/>
  <c r="H19" i="11" s="1"/>
  <c r="G18" i="11"/>
  <c r="E18" i="11"/>
  <c r="H18" i="11" s="1"/>
  <c r="G17" i="11"/>
  <c r="H17" i="11" s="1"/>
  <c r="E17" i="11"/>
  <c r="G16" i="11"/>
  <c r="E16" i="11"/>
  <c r="H16" i="11" s="1"/>
  <c r="E15" i="11"/>
  <c r="H15" i="11" s="1"/>
  <c r="E14" i="11"/>
  <c r="H14" i="11" s="1"/>
  <c r="G13" i="11"/>
  <c r="E13" i="11"/>
  <c r="H13" i="11" s="1"/>
  <c r="G12" i="11"/>
  <c r="E12" i="11"/>
  <c r="H12" i="11" s="1"/>
  <c r="E11" i="11"/>
  <c r="H11" i="11" s="1"/>
  <c r="G10" i="11"/>
  <c r="G24" i="11" s="1"/>
  <c r="E10" i="11"/>
  <c r="H10" i="11" s="1"/>
  <c r="H65" i="12" l="1"/>
  <c r="H101" i="12"/>
  <c r="H102" i="12" s="1"/>
  <c r="E102" i="12"/>
  <c r="E103" i="12" s="1"/>
  <c r="H103" i="12" s="1"/>
  <c r="G103" i="12"/>
  <c r="G73" i="12"/>
  <c r="H73" i="12" s="1"/>
  <c r="H60" i="11"/>
  <c r="E65" i="11"/>
  <c r="H21" i="11"/>
  <c r="H24" i="11" s="1"/>
  <c r="E43" i="11"/>
  <c r="E73" i="11" s="1"/>
  <c r="H53" i="11"/>
  <c r="H79" i="11"/>
  <c r="E80" i="11"/>
  <c r="H80" i="11" s="1"/>
  <c r="H101" i="11"/>
  <c r="H102" i="11" s="1"/>
  <c r="E102" i="11"/>
  <c r="F103" i="11"/>
  <c r="D103" i="11"/>
  <c r="H52" i="11"/>
  <c r="H72" i="11"/>
  <c r="H83" i="11"/>
  <c r="H86" i="11" s="1"/>
  <c r="E86" i="11"/>
  <c r="G65" i="11"/>
  <c r="G73" i="11" s="1"/>
  <c r="G103" i="11" s="1"/>
  <c r="H66" i="11"/>
  <c r="H100" i="11"/>
  <c r="H25" i="11"/>
  <c r="H48" i="11"/>
  <c r="E24" i="11"/>
  <c r="G43" i="11"/>
  <c r="H43" i="11" s="1"/>
  <c r="H70" i="11"/>
  <c r="F101" i="10"/>
  <c r="G100" i="10"/>
  <c r="G101" i="10" s="1"/>
  <c r="F100" i="10"/>
  <c r="D100" i="10"/>
  <c r="D101" i="10" s="1"/>
  <c r="D102" i="10" s="1"/>
  <c r="C100" i="10"/>
  <c r="E99" i="10"/>
  <c r="H99" i="10" s="1"/>
  <c r="G98" i="10"/>
  <c r="F98" i="10"/>
  <c r="D98" i="10"/>
  <c r="C98" i="10"/>
  <c r="C101" i="10" s="1"/>
  <c r="E97" i="10"/>
  <c r="E96" i="10"/>
  <c r="H96" i="10" s="1"/>
  <c r="H95" i="10"/>
  <c r="E95" i="10"/>
  <c r="E94" i="10"/>
  <c r="H94" i="10" s="1"/>
  <c r="H93" i="10"/>
  <c r="E93" i="10"/>
  <c r="E92" i="10"/>
  <c r="E98" i="10" s="1"/>
  <c r="D86" i="10"/>
  <c r="G85" i="10"/>
  <c r="F85" i="10"/>
  <c r="D85" i="10"/>
  <c r="C85" i="10"/>
  <c r="H84" i="10"/>
  <c r="E84" i="10"/>
  <c r="E85" i="10" s="1"/>
  <c r="H85" i="10" s="1"/>
  <c r="G83" i="10"/>
  <c r="G86" i="10" s="1"/>
  <c r="F83" i="10"/>
  <c r="F86" i="10" s="1"/>
  <c r="D83" i="10"/>
  <c r="C83" i="10"/>
  <c r="C86" i="10" s="1"/>
  <c r="H82" i="10"/>
  <c r="E82" i="10"/>
  <c r="E81" i="10"/>
  <c r="E83" i="10" s="1"/>
  <c r="D80" i="10"/>
  <c r="G79" i="10"/>
  <c r="F79" i="10"/>
  <c r="F80" i="10" s="1"/>
  <c r="D79" i="10"/>
  <c r="C79" i="10"/>
  <c r="C80" i="10" s="1"/>
  <c r="H78" i="10"/>
  <c r="E78" i="10"/>
  <c r="E77" i="10"/>
  <c r="H77" i="10" s="1"/>
  <c r="H76" i="10"/>
  <c r="E76" i="10"/>
  <c r="E79" i="10" s="1"/>
  <c r="G75" i="10"/>
  <c r="G80" i="10" s="1"/>
  <c r="F75" i="10"/>
  <c r="D75" i="10"/>
  <c r="C75" i="10"/>
  <c r="H74" i="10"/>
  <c r="E74" i="10"/>
  <c r="E75" i="10" s="1"/>
  <c r="H75" i="10" s="1"/>
  <c r="F72" i="10"/>
  <c r="D72" i="10"/>
  <c r="D73" i="10" s="1"/>
  <c r="C72" i="10"/>
  <c r="G71" i="10"/>
  <c r="E71" i="10"/>
  <c r="H71" i="10" s="1"/>
  <c r="G70" i="10"/>
  <c r="G72" i="10" s="1"/>
  <c r="E70" i="10"/>
  <c r="E72" i="10" s="1"/>
  <c r="F69" i="10"/>
  <c r="D69" i="10"/>
  <c r="C69" i="10"/>
  <c r="G68" i="10"/>
  <c r="E68" i="10"/>
  <c r="H68" i="10" s="1"/>
  <c r="E67" i="10"/>
  <c r="H67" i="10" s="1"/>
  <c r="G66" i="10"/>
  <c r="H66" i="10" s="1"/>
  <c r="E66" i="10"/>
  <c r="F65" i="10"/>
  <c r="F73" i="10" s="1"/>
  <c r="D65" i="10"/>
  <c r="C65" i="10"/>
  <c r="C73" i="10" s="1"/>
  <c r="E64" i="10"/>
  <c r="H64" i="10" s="1"/>
  <c r="E63" i="10"/>
  <c r="H63" i="10" s="1"/>
  <c r="H62" i="10"/>
  <c r="E62" i="10"/>
  <c r="G61" i="10"/>
  <c r="G65" i="10" s="1"/>
  <c r="E61" i="10"/>
  <c r="H61" i="10" s="1"/>
  <c r="G60" i="10"/>
  <c r="E60" i="10"/>
  <c r="H60" i="10" s="1"/>
  <c r="H59" i="10"/>
  <c r="E59" i="10"/>
  <c r="E58" i="10"/>
  <c r="H58" i="10" s="1"/>
  <c r="E57" i="10"/>
  <c r="H57" i="10" s="1"/>
  <c r="E56" i="10"/>
  <c r="H56" i="10" s="1"/>
  <c r="H55" i="10"/>
  <c r="E55" i="10"/>
  <c r="E54" i="10"/>
  <c r="H54" i="10" s="1"/>
  <c r="H53" i="10"/>
  <c r="E53" i="10"/>
  <c r="G52" i="10"/>
  <c r="F52" i="10"/>
  <c r="D52" i="10"/>
  <c r="C52" i="10"/>
  <c r="H51" i="10"/>
  <c r="E51" i="10"/>
  <c r="E50" i="10"/>
  <c r="H50" i="10" s="1"/>
  <c r="H49" i="10"/>
  <c r="E49" i="10"/>
  <c r="E48" i="10"/>
  <c r="E52" i="10" s="1"/>
  <c r="H52" i="10" s="1"/>
  <c r="F43" i="10"/>
  <c r="D43" i="10"/>
  <c r="C43" i="10"/>
  <c r="G42" i="10"/>
  <c r="E42" i="10"/>
  <c r="H42" i="10" s="1"/>
  <c r="E41" i="10"/>
  <c r="H41" i="10" s="1"/>
  <c r="E40" i="10"/>
  <c r="H40" i="10" s="1"/>
  <c r="E39" i="10"/>
  <c r="H39" i="10" s="1"/>
  <c r="E38" i="10"/>
  <c r="H38" i="10" s="1"/>
  <c r="E37" i="10"/>
  <c r="H37" i="10" s="1"/>
  <c r="E36" i="10"/>
  <c r="H36" i="10" s="1"/>
  <c r="E35" i="10"/>
  <c r="H35" i="10" s="1"/>
  <c r="E34" i="10"/>
  <c r="H34" i="10" s="1"/>
  <c r="G33" i="10"/>
  <c r="E33" i="10"/>
  <c r="H33" i="10" s="1"/>
  <c r="H32" i="10"/>
  <c r="E32" i="10"/>
  <c r="E31" i="10"/>
  <c r="H31" i="10" s="1"/>
  <c r="E30" i="10"/>
  <c r="H30" i="10" s="1"/>
  <c r="G29" i="10"/>
  <c r="E29" i="10"/>
  <c r="H29" i="10" s="1"/>
  <c r="G28" i="10"/>
  <c r="E28" i="10"/>
  <c r="H28" i="10" s="1"/>
  <c r="H27" i="10"/>
  <c r="G27" i="10"/>
  <c r="G43" i="10" s="1"/>
  <c r="E27" i="10"/>
  <c r="E26" i="10"/>
  <c r="E43" i="10" s="1"/>
  <c r="H43" i="10" s="1"/>
  <c r="E25" i="10"/>
  <c r="H25" i="10" s="1"/>
  <c r="G24" i="10"/>
  <c r="F24" i="10"/>
  <c r="D24" i="10"/>
  <c r="C24" i="10"/>
  <c r="G23" i="10"/>
  <c r="E23" i="10"/>
  <c r="H23" i="10" s="1"/>
  <c r="H22" i="10"/>
  <c r="E22" i="10"/>
  <c r="E21" i="10"/>
  <c r="H21" i="10" s="1"/>
  <c r="E20" i="10"/>
  <c r="H20" i="10" s="1"/>
  <c r="E19" i="10"/>
  <c r="H19" i="10" s="1"/>
  <c r="H18" i="10"/>
  <c r="E18" i="10"/>
  <c r="E17" i="10"/>
  <c r="H17" i="10" s="1"/>
  <c r="E16" i="10"/>
  <c r="H16" i="10" s="1"/>
  <c r="E15" i="10"/>
  <c r="H15" i="10" s="1"/>
  <c r="H14" i="10"/>
  <c r="E14" i="10"/>
  <c r="E13" i="10"/>
  <c r="H13" i="10" s="1"/>
  <c r="E12" i="10"/>
  <c r="H12" i="10" s="1"/>
  <c r="E11" i="10"/>
  <c r="H10" i="10"/>
  <c r="E10" i="10"/>
  <c r="E103" i="11" l="1"/>
  <c r="H103" i="11" s="1"/>
  <c r="H73" i="11"/>
  <c r="H65" i="11"/>
  <c r="E65" i="10"/>
  <c r="E24" i="10"/>
  <c r="F102" i="10"/>
  <c r="H72" i="10"/>
  <c r="H65" i="10"/>
  <c r="G73" i="10"/>
  <c r="G102" i="10" s="1"/>
  <c r="E80" i="10"/>
  <c r="H80" i="10" s="1"/>
  <c r="H79" i="10"/>
  <c r="C102" i="10"/>
  <c r="E86" i="10"/>
  <c r="H83" i="10"/>
  <c r="H86" i="10" s="1"/>
  <c r="H26" i="10"/>
  <c r="E69" i="10"/>
  <c r="H69" i="10" s="1"/>
  <c r="H11" i="10"/>
  <c r="H24" i="10" s="1"/>
  <c r="H48" i="10"/>
  <c r="H81" i="10"/>
  <c r="H92" i="10"/>
  <c r="H98" i="10" s="1"/>
  <c r="E100" i="10"/>
  <c r="G69" i="10"/>
  <c r="H70" i="10"/>
  <c r="F102" i="9"/>
  <c r="G101" i="9"/>
  <c r="G102" i="9" s="1"/>
  <c r="F101" i="9"/>
  <c r="D101" i="9"/>
  <c r="D102" i="9" s="1"/>
  <c r="D103" i="9" s="1"/>
  <c r="C101" i="9"/>
  <c r="E100" i="9"/>
  <c r="H100" i="9" s="1"/>
  <c r="G99" i="9"/>
  <c r="F99" i="9"/>
  <c r="D99" i="9"/>
  <c r="C99" i="9"/>
  <c r="C102" i="9" s="1"/>
  <c r="E98" i="9"/>
  <c r="E97" i="9"/>
  <c r="H97" i="9" s="1"/>
  <c r="H96" i="9"/>
  <c r="E96" i="9"/>
  <c r="E95" i="9"/>
  <c r="H95" i="9" s="1"/>
  <c r="H94" i="9"/>
  <c r="E94" i="9"/>
  <c r="E93" i="9"/>
  <c r="E99" i="9" s="1"/>
  <c r="D86" i="9"/>
  <c r="G85" i="9"/>
  <c r="F85" i="9"/>
  <c r="D85" i="9"/>
  <c r="C85" i="9"/>
  <c r="H84" i="9"/>
  <c r="E84" i="9"/>
  <c r="E85" i="9" s="1"/>
  <c r="H85" i="9" s="1"/>
  <c r="G83" i="9"/>
  <c r="G86" i="9" s="1"/>
  <c r="F83" i="9"/>
  <c r="F86" i="9" s="1"/>
  <c r="D83" i="9"/>
  <c r="C83" i="9"/>
  <c r="C86" i="9" s="1"/>
  <c r="H82" i="9"/>
  <c r="E82" i="9"/>
  <c r="E81" i="9"/>
  <c r="E83" i="9" s="1"/>
  <c r="D80" i="9"/>
  <c r="G79" i="9"/>
  <c r="F79" i="9"/>
  <c r="F80" i="9" s="1"/>
  <c r="D79" i="9"/>
  <c r="C79" i="9"/>
  <c r="C80" i="9" s="1"/>
  <c r="H78" i="9"/>
  <c r="E78" i="9"/>
  <c r="E77" i="9"/>
  <c r="H77" i="9" s="1"/>
  <c r="H76" i="9"/>
  <c r="E76" i="9"/>
  <c r="E79" i="9" s="1"/>
  <c r="G75" i="9"/>
  <c r="G80" i="9" s="1"/>
  <c r="F75" i="9"/>
  <c r="D75" i="9"/>
  <c r="C75" i="9"/>
  <c r="H74" i="9"/>
  <c r="E74" i="9"/>
  <c r="E75" i="9" s="1"/>
  <c r="H75" i="9" s="1"/>
  <c r="F72" i="9"/>
  <c r="D72" i="9"/>
  <c r="D73" i="9" s="1"/>
  <c r="C72" i="9"/>
  <c r="G71" i="9"/>
  <c r="E71" i="9"/>
  <c r="H71" i="9" s="1"/>
  <c r="G70" i="9"/>
  <c r="G72" i="9" s="1"/>
  <c r="E70" i="9"/>
  <c r="E72" i="9" s="1"/>
  <c r="F69" i="9"/>
  <c r="D69" i="9"/>
  <c r="C69" i="9"/>
  <c r="G68" i="9"/>
  <c r="E68" i="9"/>
  <c r="E69" i="9" s="1"/>
  <c r="E67" i="9"/>
  <c r="H67" i="9" s="1"/>
  <c r="G66" i="9"/>
  <c r="H66" i="9" s="1"/>
  <c r="E66" i="9"/>
  <c r="F65" i="9"/>
  <c r="F73" i="9" s="1"/>
  <c r="D65" i="9"/>
  <c r="C65" i="9"/>
  <c r="C73" i="9" s="1"/>
  <c r="E64" i="9"/>
  <c r="H64" i="9" s="1"/>
  <c r="E63" i="9"/>
  <c r="H63" i="9" s="1"/>
  <c r="H62" i="9"/>
  <c r="E62" i="9"/>
  <c r="G61" i="9"/>
  <c r="G65" i="9" s="1"/>
  <c r="E61" i="9"/>
  <c r="H61" i="9" s="1"/>
  <c r="G60" i="9"/>
  <c r="E60" i="9"/>
  <c r="H60" i="9" s="1"/>
  <c r="E59" i="9"/>
  <c r="H59" i="9" s="1"/>
  <c r="E58" i="9"/>
  <c r="H58" i="9" s="1"/>
  <c r="E57" i="9"/>
  <c r="H57" i="9" s="1"/>
  <c r="E56" i="9"/>
  <c r="H56" i="9" s="1"/>
  <c r="E55" i="9"/>
  <c r="H55" i="9" s="1"/>
  <c r="E54" i="9"/>
  <c r="H54" i="9" s="1"/>
  <c r="E53" i="9"/>
  <c r="G52" i="9"/>
  <c r="F52" i="9"/>
  <c r="D52" i="9"/>
  <c r="C52" i="9"/>
  <c r="H51" i="9"/>
  <c r="E51" i="9"/>
  <c r="E50" i="9"/>
  <c r="H50" i="9" s="1"/>
  <c r="H49" i="9"/>
  <c r="E49" i="9"/>
  <c r="E48" i="9"/>
  <c r="E52" i="9" s="1"/>
  <c r="H52" i="9" s="1"/>
  <c r="F43" i="9"/>
  <c r="D43" i="9"/>
  <c r="C43" i="9"/>
  <c r="G42" i="9"/>
  <c r="E42" i="9"/>
  <c r="H42" i="9" s="1"/>
  <c r="E41" i="9"/>
  <c r="H41" i="9" s="1"/>
  <c r="E40" i="9"/>
  <c r="H40" i="9" s="1"/>
  <c r="E39" i="9"/>
  <c r="H39" i="9" s="1"/>
  <c r="E38" i="9"/>
  <c r="H38" i="9" s="1"/>
  <c r="E37" i="9"/>
  <c r="H37" i="9" s="1"/>
  <c r="E36" i="9"/>
  <c r="H36" i="9" s="1"/>
  <c r="E35" i="9"/>
  <c r="H35" i="9" s="1"/>
  <c r="E34" i="9"/>
  <c r="H34" i="9" s="1"/>
  <c r="G33" i="9"/>
  <c r="E33" i="9"/>
  <c r="H33" i="9" s="1"/>
  <c r="E32" i="9"/>
  <c r="H32" i="9" s="1"/>
  <c r="E31" i="9"/>
  <c r="H31" i="9" s="1"/>
  <c r="E30" i="9"/>
  <c r="H30" i="9" s="1"/>
  <c r="G29" i="9"/>
  <c r="E29" i="9"/>
  <c r="H29" i="9" s="1"/>
  <c r="G28" i="9"/>
  <c r="E28" i="9"/>
  <c r="H28" i="9" s="1"/>
  <c r="H27" i="9"/>
  <c r="G27" i="9"/>
  <c r="G43" i="9" s="1"/>
  <c r="E27" i="9"/>
  <c r="E26" i="9"/>
  <c r="E25" i="9"/>
  <c r="H25" i="9" s="1"/>
  <c r="G24" i="9"/>
  <c r="F24" i="9"/>
  <c r="D24" i="9"/>
  <c r="C24" i="9"/>
  <c r="G23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E16" i="9"/>
  <c r="H16" i="9" s="1"/>
  <c r="E15" i="9"/>
  <c r="H15" i="9" s="1"/>
  <c r="E14" i="9"/>
  <c r="H14" i="9" s="1"/>
  <c r="E13" i="9"/>
  <c r="H13" i="9" s="1"/>
  <c r="E12" i="9"/>
  <c r="H12" i="9" s="1"/>
  <c r="E11" i="9"/>
  <c r="H10" i="9"/>
  <c r="E10" i="9"/>
  <c r="E73" i="10" l="1"/>
  <c r="H100" i="10"/>
  <c r="H101" i="10" s="1"/>
  <c r="E101" i="10"/>
  <c r="E65" i="9"/>
  <c r="E24" i="9"/>
  <c r="H53" i="9"/>
  <c r="E43" i="9"/>
  <c r="H43" i="9" s="1"/>
  <c r="F103" i="9"/>
  <c r="H72" i="9"/>
  <c r="H65" i="9"/>
  <c r="G73" i="9"/>
  <c r="G103" i="9" s="1"/>
  <c r="E80" i="9"/>
  <c r="H80" i="9" s="1"/>
  <c r="H79" i="9"/>
  <c r="C103" i="9"/>
  <c r="E86" i="9"/>
  <c r="H83" i="9"/>
  <c r="H86" i="9" s="1"/>
  <c r="H26" i="9"/>
  <c r="H11" i="9"/>
  <c r="H24" i="9" s="1"/>
  <c r="H48" i="9"/>
  <c r="H68" i="9"/>
  <c r="H81" i="9"/>
  <c r="H93" i="9"/>
  <c r="H99" i="9" s="1"/>
  <c r="E101" i="9"/>
  <c r="G69" i="9"/>
  <c r="H69" i="9" s="1"/>
  <c r="H70" i="9"/>
  <c r="G100" i="8"/>
  <c r="G101" i="8" s="1"/>
  <c r="F100" i="8"/>
  <c r="D100" i="8"/>
  <c r="C100" i="8"/>
  <c r="E99" i="8"/>
  <c r="H99" i="8" s="1"/>
  <c r="G98" i="8"/>
  <c r="F98" i="8"/>
  <c r="F101" i="8" s="1"/>
  <c r="D98" i="8"/>
  <c r="C98" i="8"/>
  <c r="C101" i="8" s="1"/>
  <c r="E97" i="8"/>
  <c r="E96" i="8"/>
  <c r="H96" i="8" s="1"/>
  <c r="E95" i="8"/>
  <c r="H95" i="8" s="1"/>
  <c r="E94" i="8"/>
  <c r="H94" i="8" s="1"/>
  <c r="H93" i="8"/>
  <c r="E93" i="8"/>
  <c r="E92" i="8"/>
  <c r="G85" i="8"/>
  <c r="F85" i="8"/>
  <c r="D85" i="8"/>
  <c r="C85" i="8"/>
  <c r="E84" i="8"/>
  <c r="E85" i="8" s="1"/>
  <c r="H85" i="8" s="1"/>
  <c r="G83" i="8"/>
  <c r="F83" i="8"/>
  <c r="F86" i="8" s="1"/>
  <c r="D83" i="8"/>
  <c r="D86" i="8" s="1"/>
  <c r="C83" i="8"/>
  <c r="E82" i="8"/>
  <c r="H82" i="8" s="1"/>
  <c r="E81" i="8"/>
  <c r="G79" i="8"/>
  <c r="F79" i="8"/>
  <c r="D79" i="8"/>
  <c r="C79" i="8"/>
  <c r="C80" i="8" s="1"/>
  <c r="E78" i="8"/>
  <c r="H78" i="8" s="1"/>
  <c r="E77" i="8"/>
  <c r="H77" i="8" s="1"/>
  <c r="H76" i="8"/>
  <c r="E76" i="8"/>
  <c r="G75" i="8"/>
  <c r="F75" i="8"/>
  <c r="D75" i="8"/>
  <c r="D80" i="8" s="1"/>
  <c r="C75" i="8"/>
  <c r="E74" i="8"/>
  <c r="E75" i="8" s="1"/>
  <c r="H75" i="8" s="1"/>
  <c r="F72" i="8"/>
  <c r="D72" i="8"/>
  <c r="C72" i="8"/>
  <c r="G71" i="8"/>
  <c r="E71" i="8"/>
  <c r="H71" i="8" s="1"/>
  <c r="G70" i="8"/>
  <c r="G72" i="8" s="1"/>
  <c r="E70" i="8"/>
  <c r="F69" i="8"/>
  <c r="D69" i="8"/>
  <c r="C69" i="8"/>
  <c r="G68" i="8"/>
  <c r="E68" i="8"/>
  <c r="H68" i="8" s="1"/>
  <c r="E67" i="8"/>
  <c r="G66" i="8"/>
  <c r="E66" i="8"/>
  <c r="F65" i="8"/>
  <c r="D65" i="8"/>
  <c r="C65" i="8"/>
  <c r="E64" i="8"/>
  <c r="H64" i="8" s="1"/>
  <c r="E63" i="8"/>
  <c r="H63" i="8" s="1"/>
  <c r="E62" i="8"/>
  <c r="H62" i="8" s="1"/>
  <c r="G61" i="8"/>
  <c r="E61" i="8"/>
  <c r="H61" i="8" s="1"/>
  <c r="G60" i="8"/>
  <c r="G65" i="8" s="1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G52" i="8"/>
  <c r="F52" i="8"/>
  <c r="D52" i="8"/>
  <c r="C52" i="8"/>
  <c r="E51" i="8"/>
  <c r="H51" i="8" s="1"/>
  <c r="E50" i="8"/>
  <c r="H50" i="8" s="1"/>
  <c r="E49" i="8"/>
  <c r="H49" i="8" s="1"/>
  <c r="E48" i="8"/>
  <c r="F43" i="8"/>
  <c r="D43" i="8"/>
  <c r="C43" i="8"/>
  <c r="G42" i="8"/>
  <c r="E42" i="8"/>
  <c r="H42" i="8" s="1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G33" i="8"/>
  <c r="E33" i="8"/>
  <c r="H33" i="8" s="1"/>
  <c r="E32" i="8"/>
  <c r="H32" i="8" s="1"/>
  <c r="E31" i="8"/>
  <c r="H31" i="8" s="1"/>
  <c r="E30" i="8"/>
  <c r="H30" i="8" s="1"/>
  <c r="G29" i="8"/>
  <c r="E29" i="8"/>
  <c r="H29" i="8" s="1"/>
  <c r="G28" i="8"/>
  <c r="E28" i="8"/>
  <c r="H28" i="8" s="1"/>
  <c r="G27" i="8"/>
  <c r="G43" i="8" s="1"/>
  <c r="E27" i="8"/>
  <c r="H27" i="8" s="1"/>
  <c r="E26" i="8"/>
  <c r="H26" i="8" s="1"/>
  <c r="E25" i="8"/>
  <c r="G24" i="8"/>
  <c r="F24" i="8"/>
  <c r="D24" i="8"/>
  <c r="C24" i="8"/>
  <c r="E23" i="8"/>
  <c r="H23" i="8" s="1"/>
  <c r="E22" i="8"/>
  <c r="H22" i="8" s="1"/>
  <c r="E21" i="8"/>
  <c r="H21" i="8" s="1"/>
  <c r="E20" i="8"/>
  <c r="H20" i="8" s="1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H73" i="10" l="1"/>
  <c r="E102" i="10"/>
  <c r="H102" i="10" s="1"/>
  <c r="E73" i="9"/>
  <c r="H73" i="9" s="1"/>
  <c r="H101" i="9"/>
  <c r="H102" i="9" s="1"/>
  <c r="E102" i="9"/>
  <c r="E103" i="9" s="1"/>
  <c r="H103" i="9" s="1"/>
  <c r="E43" i="8"/>
  <c r="H43" i="8" s="1"/>
  <c r="E98" i="8"/>
  <c r="E69" i="8"/>
  <c r="H69" i="8" s="1"/>
  <c r="G86" i="8"/>
  <c r="E72" i="8"/>
  <c r="H72" i="8" s="1"/>
  <c r="H74" i="8"/>
  <c r="G80" i="8"/>
  <c r="E83" i="8"/>
  <c r="H83" i="8" s="1"/>
  <c r="H86" i="8" s="1"/>
  <c r="C86" i="8"/>
  <c r="H92" i="8"/>
  <c r="H98" i="8" s="1"/>
  <c r="D101" i="8"/>
  <c r="E65" i="8"/>
  <c r="H65" i="8" s="1"/>
  <c r="C73" i="8"/>
  <c r="H66" i="8"/>
  <c r="D73" i="8"/>
  <c r="E79" i="8"/>
  <c r="H79" i="8" s="1"/>
  <c r="F80" i="8"/>
  <c r="H81" i="8"/>
  <c r="H84" i="8"/>
  <c r="E52" i="8"/>
  <c r="H52" i="8" s="1"/>
  <c r="F73" i="8"/>
  <c r="F102" i="8" s="1"/>
  <c r="H24" i="8"/>
  <c r="E86" i="8"/>
  <c r="E80" i="8"/>
  <c r="C102" i="8"/>
  <c r="E24" i="8"/>
  <c r="H48" i="8"/>
  <c r="E100" i="8"/>
  <c r="H25" i="8"/>
  <c r="H67" i="8"/>
  <c r="G69" i="8"/>
  <c r="G73" i="8" s="1"/>
  <c r="G102" i="8" s="1"/>
  <c r="H70" i="8"/>
  <c r="F101" i="7"/>
  <c r="G100" i="7"/>
  <c r="G101" i="7" s="1"/>
  <c r="F100" i="7"/>
  <c r="D100" i="7"/>
  <c r="D101" i="7" s="1"/>
  <c r="D102" i="7" s="1"/>
  <c r="C100" i="7"/>
  <c r="E99" i="7"/>
  <c r="H99" i="7" s="1"/>
  <c r="G98" i="7"/>
  <c r="F98" i="7"/>
  <c r="D98" i="7"/>
  <c r="C98" i="7"/>
  <c r="C101" i="7" s="1"/>
  <c r="E97" i="7"/>
  <c r="E96" i="7"/>
  <c r="H96" i="7" s="1"/>
  <c r="H95" i="7"/>
  <c r="E95" i="7"/>
  <c r="E94" i="7"/>
  <c r="H94" i="7" s="1"/>
  <c r="H93" i="7"/>
  <c r="E93" i="7"/>
  <c r="E92" i="7"/>
  <c r="E98" i="7" s="1"/>
  <c r="D86" i="7"/>
  <c r="G85" i="7"/>
  <c r="F85" i="7"/>
  <c r="D85" i="7"/>
  <c r="C85" i="7"/>
  <c r="H84" i="7"/>
  <c r="E84" i="7"/>
  <c r="E85" i="7" s="1"/>
  <c r="H85" i="7" s="1"/>
  <c r="G83" i="7"/>
  <c r="G86" i="7" s="1"/>
  <c r="F83" i="7"/>
  <c r="F86" i="7" s="1"/>
  <c r="D83" i="7"/>
  <c r="C83" i="7"/>
  <c r="C86" i="7" s="1"/>
  <c r="H82" i="7"/>
  <c r="E82" i="7"/>
  <c r="E81" i="7"/>
  <c r="E83" i="7" s="1"/>
  <c r="D80" i="7"/>
  <c r="G79" i="7"/>
  <c r="F79" i="7"/>
  <c r="F80" i="7" s="1"/>
  <c r="D79" i="7"/>
  <c r="C79" i="7"/>
  <c r="C80" i="7" s="1"/>
  <c r="H78" i="7"/>
  <c r="E78" i="7"/>
  <c r="E77" i="7"/>
  <c r="H77" i="7" s="1"/>
  <c r="H76" i="7"/>
  <c r="E76" i="7"/>
  <c r="E79" i="7" s="1"/>
  <c r="G75" i="7"/>
  <c r="G80" i="7" s="1"/>
  <c r="F75" i="7"/>
  <c r="D75" i="7"/>
  <c r="C75" i="7"/>
  <c r="H74" i="7"/>
  <c r="E74" i="7"/>
  <c r="E75" i="7" s="1"/>
  <c r="H75" i="7" s="1"/>
  <c r="F72" i="7"/>
  <c r="D72" i="7"/>
  <c r="D73" i="7" s="1"/>
  <c r="C72" i="7"/>
  <c r="G71" i="7"/>
  <c r="E71" i="7"/>
  <c r="H71" i="7" s="1"/>
  <c r="G70" i="7"/>
  <c r="G72" i="7" s="1"/>
  <c r="E70" i="7"/>
  <c r="E72" i="7" s="1"/>
  <c r="F69" i="7"/>
  <c r="D69" i="7"/>
  <c r="C69" i="7"/>
  <c r="G68" i="7"/>
  <c r="E68" i="7"/>
  <c r="E69" i="7" s="1"/>
  <c r="E67" i="7"/>
  <c r="H67" i="7" s="1"/>
  <c r="G66" i="7"/>
  <c r="H66" i="7" s="1"/>
  <c r="E66" i="7"/>
  <c r="F65" i="7"/>
  <c r="F73" i="7" s="1"/>
  <c r="D65" i="7"/>
  <c r="C65" i="7"/>
  <c r="C73" i="7" s="1"/>
  <c r="E64" i="7"/>
  <c r="H64" i="7" s="1"/>
  <c r="E63" i="7"/>
  <c r="H63" i="7" s="1"/>
  <c r="E62" i="7"/>
  <c r="H62" i="7" s="1"/>
  <c r="G61" i="7"/>
  <c r="G65" i="7" s="1"/>
  <c r="E61" i="7"/>
  <c r="H61" i="7" s="1"/>
  <c r="G60" i="7"/>
  <c r="E60" i="7"/>
  <c r="H60" i="7" s="1"/>
  <c r="H59" i="7"/>
  <c r="E59" i="7"/>
  <c r="E58" i="7"/>
  <c r="H58" i="7" s="1"/>
  <c r="E57" i="7"/>
  <c r="H57" i="7" s="1"/>
  <c r="E56" i="7"/>
  <c r="H56" i="7" s="1"/>
  <c r="E55" i="7"/>
  <c r="H55" i="7" s="1"/>
  <c r="E54" i="7"/>
  <c r="H54" i="7" s="1"/>
  <c r="E53" i="7"/>
  <c r="G52" i="7"/>
  <c r="F52" i="7"/>
  <c r="D52" i="7"/>
  <c r="C52" i="7"/>
  <c r="H51" i="7"/>
  <c r="E51" i="7"/>
  <c r="E50" i="7"/>
  <c r="H50" i="7" s="1"/>
  <c r="H49" i="7"/>
  <c r="E49" i="7"/>
  <c r="E48" i="7"/>
  <c r="E52" i="7" s="1"/>
  <c r="H52" i="7" s="1"/>
  <c r="F43" i="7"/>
  <c r="D43" i="7"/>
  <c r="C43" i="7"/>
  <c r="G42" i="7"/>
  <c r="E42" i="7"/>
  <c r="H42" i="7" s="1"/>
  <c r="E41" i="7"/>
  <c r="H41" i="7" s="1"/>
  <c r="E40" i="7"/>
  <c r="H40" i="7" s="1"/>
  <c r="E39" i="7"/>
  <c r="H39" i="7" s="1"/>
  <c r="E38" i="7"/>
  <c r="H38" i="7" s="1"/>
  <c r="E37" i="7"/>
  <c r="H37" i="7" s="1"/>
  <c r="E36" i="7"/>
  <c r="H36" i="7" s="1"/>
  <c r="E35" i="7"/>
  <c r="H35" i="7" s="1"/>
  <c r="E34" i="7"/>
  <c r="H34" i="7" s="1"/>
  <c r="G33" i="7"/>
  <c r="E33" i="7"/>
  <c r="H33" i="7" s="1"/>
  <c r="H32" i="7"/>
  <c r="E32" i="7"/>
  <c r="E31" i="7"/>
  <c r="H31" i="7" s="1"/>
  <c r="E30" i="7"/>
  <c r="H30" i="7" s="1"/>
  <c r="G29" i="7"/>
  <c r="E29" i="7"/>
  <c r="H29" i="7" s="1"/>
  <c r="G28" i="7"/>
  <c r="E28" i="7"/>
  <c r="H28" i="7" s="1"/>
  <c r="G27" i="7"/>
  <c r="G43" i="7" s="1"/>
  <c r="E27" i="7"/>
  <c r="H27" i="7" s="1"/>
  <c r="E26" i="7"/>
  <c r="E43" i="7" s="1"/>
  <c r="H43" i="7" s="1"/>
  <c r="E25" i="7"/>
  <c r="H25" i="7" s="1"/>
  <c r="G24" i="7"/>
  <c r="F24" i="7"/>
  <c r="D24" i="7"/>
  <c r="C24" i="7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E73" i="8" l="1"/>
  <c r="H73" i="8" s="1"/>
  <c r="H80" i="8"/>
  <c r="D102" i="8"/>
  <c r="H100" i="8"/>
  <c r="H101" i="8" s="1"/>
  <c r="E101" i="8"/>
  <c r="E102" i="8" s="1"/>
  <c r="H102" i="8" s="1"/>
  <c r="E24" i="7"/>
  <c r="E65" i="7"/>
  <c r="H65" i="7" s="1"/>
  <c r="H53" i="7"/>
  <c r="E86" i="7"/>
  <c r="H83" i="7"/>
  <c r="H86" i="7" s="1"/>
  <c r="F102" i="7"/>
  <c r="E73" i="7"/>
  <c r="H72" i="7"/>
  <c r="E80" i="7"/>
  <c r="H80" i="7" s="1"/>
  <c r="H79" i="7"/>
  <c r="C102" i="7"/>
  <c r="H10" i="7"/>
  <c r="H24" i="7" s="1"/>
  <c r="H48" i="7"/>
  <c r="H68" i="7"/>
  <c r="H81" i="7"/>
  <c r="H92" i="7"/>
  <c r="H98" i="7" s="1"/>
  <c r="E100" i="7"/>
  <c r="G69" i="7"/>
  <c r="H69" i="7" s="1"/>
  <c r="H70" i="7"/>
  <c r="H26" i="7"/>
  <c r="F101" i="6"/>
  <c r="G100" i="6"/>
  <c r="G101" i="6" s="1"/>
  <c r="F100" i="6"/>
  <c r="D100" i="6"/>
  <c r="D101" i="6" s="1"/>
  <c r="D102" i="6" s="1"/>
  <c r="C100" i="6"/>
  <c r="E99" i="6"/>
  <c r="H99" i="6" s="1"/>
  <c r="G98" i="6"/>
  <c r="F98" i="6"/>
  <c r="D98" i="6"/>
  <c r="C98" i="6"/>
  <c r="C101" i="6" s="1"/>
  <c r="E97" i="6"/>
  <c r="E96" i="6"/>
  <c r="H96" i="6" s="1"/>
  <c r="H95" i="6"/>
  <c r="E95" i="6"/>
  <c r="E94" i="6"/>
  <c r="H94" i="6" s="1"/>
  <c r="H93" i="6"/>
  <c r="E93" i="6"/>
  <c r="E92" i="6"/>
  <c r="E98" i="6" s="1"/>
  <c r="D86" i="6"/>
  <c r="G85" i="6"/>
  <c r="F85" i="6"/>
  <c r="D85" i="6"/>
  <c r="C85" i="6"/>
  <c r="H84" i="6"/>
  <c r="E84" i="6"/>
  <c r="E85" i="6" s="1"/>
  <c r="H85" i="6" s="1"/>
  <c r="G83" i="6"/>
  <c r="G86" i="6" s="1"/>
  <c r="F83" i="6"/>
  <c r="F86" i="6" s="1"/>
  <c r="D83" i="6"/>
  <c r="C83" i="6"/>
  <c r="C86" i="6" s="1"/>
  <c r="H82" i="6"/>
  <c r="E82" i="6"/>
  <c r="E81" i="6"/>
  <c r="E83" i="6" s="1"/>
  <c r="D80" i="6"/>
  <c r="G79" i="6"/>
  <c r="F79" i="6"/>
  <c r="F80" i="6" s="1"/>
  <c r="D79" i="6"/>
  <c r="C79" i="6"/>
  <c r="C80" i="6" s="1"/>
  <c r="H78" i="6"/>
  <c r="E78" i="6"/>
  <c r="E77" i="6"/>
  <c r="H77" i="6" s="1"/>
  <c r="H76" i="6"/>
  <c r="E76" i="6"/>
  <c r="E79" i="6" s="1"/>
  <c r="G75" i="6"/>
  <c r="G80" i="6" s="1"/>
  <c r="F75" i="6"/>
  <c r="D75" i="6"/>
  <c r="C75" i="6"/>
  <c r="H74" i="6"/>
  <c r="E74" i="6"/>
  <c r="E75" i="6" s="1"/>
  <c r="H75" i="6" s="1"/>
  <c r="G72" i="6"/>
  <c r="F72" i="6"/>
  <c r="D72" i="6"/>
  <c r="D73" i="6" s="1"/>
  <c r="C72" i="6"/>
  <c r="E71" i="6"/>
  <c r="E72" i="6" s="1"/>
  <c r="H70" i="6"/>
  <c r="E70" i="6"/>
  <c r="G69" i="6"/>
  <c r="G73" i="6" s="1"/>
  <c r="G102" i="6" s="1"/>
  <c r="F69" i="6"/>
  <c r="F73" i="6" s="1"/>
  <c r="D69" i="6"/>
  <c r="C69" i="6"/>
  <c r="C73" i="6" s="1"/>
  <c r="H68" i="6"/>
  <c r="E68" i="6"/>
  <c r="E67" i="6"/>
  <c r="H67" i="6" s="1"/>
  <c r="H66" i="6"/>
  <c r="E66" i="6"/>
  <c r="E69" i="6" s="1"/>
  <c r="H69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H58" i="6"/>
  <c r="E58" i="6"/>
  <c r="E57" i="6"/>
  <c r="H57" i="6" s="1"/>
  <c r="H56" i="6"/>
  <c r="E56" i="6"/>
  <c r="E55" i="6"/>
  <c r="H55" i="6" s="1"/>
  <c r="E54" i="6"/>
  <c r="H54" i="6" s="1"/>
  <c r="E53" i="6"/>
  <c r="G52" i="6"/>
  <c r="F52" i="6"/>
  <c r="D52" i="6"/>
  <c r="C52" i="6"/>
  <c r="E51" i="6"/>
  <c r="H51" i="6" s="1"/>
  <c r="H50" i="6"/>
  <c r="E50" i="6"/>
  <c r="E49" i="6"/>
  <c r="H49" i="6" s="1"/>
  <c r="H48" i="6"/>
  <c r="E48" i="6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H36" i="6"/>
  <c r="E36" i="6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H28" i="6"/>
  <c r="E28" i="6"/>
  <c r="E27" i="6"/>
  <c r="H27" i="6" s="1"/>
  <c r="E26" i="6"/>
  <c r="H26" i="6" s="1"/>
  <c r="E25" i="6"/>
  <c r="G24" i="6"/>
  <c r="F24" i="6"/>
  <c r="F102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H16" i="6"/>
  <c r="E16" i="6"/>
  <c r="E15" i="6"/>
  <c r="H15" i="6" s="1"/>
  <c r="E14" i="6"/>
  <c r="H14" i="6" s="1"/>
  <c r="E13" i="6"/>
  <c r="H13" i="6" s="1"/>
  <c r="E12" i="6"/>
  <c r="H12" i="6" s="1"/>
  <c r="E11" i="6"/>
  <c r="H11" i="6" s="1"/>
  <c r="H10" i="6"/>
  <c r="E10" i="6"/>
  <c r="H100" i="7" l="1"/>
  <c r="H101" i="7" s="1"/>
  <c r="E101" i="7"/>
  <c r="E102" i="7" s="1"/>
  <c r="G73" i="7"/>
  <c r="G102" i="7" s="1"/>
  <c r="E43" i="6"/>
  <c r="H43" i="6" s="1"/>
  <c r="E65" i="6"/>
  <c r="H65" i="6" s="1"/>
  <c r="E86" i="6"/>
  <c r="H83" i="6"/>
  <c r="H86" i="6" s="1"/>
  <c r="H24" i="6"/>
  <c r="E80" i="6"/>
  <c r="H80" i="6" s="1"/>
  <c r="H79" i="6"/>
  <c r="C102" i="6"/>
  <c r="E73" i="6"/>
  <c r="H73" i="6" s="1"/>
  <c r="H72" i="6"/>
  <c r="E24" i="6"/>
  <c r="E52" i="6"/>
  <c r="H52" i="6" s="1"/>
  <c r="H25" i="6"/>
  <c r="H53" i="6"/>
  <c r="H71" i="6"/>
  <c r="H81" i="6"/>
  <c r="H92" i="6"/>
  <c r="H98" i="6" s="1"/>
  <c r="E100" i="6"/>
  <c r="F101" i="5"/>
  <c r="C101" i="5"/>
  <c r="G100" i="5"/>
  <c r="F100" i="5"/>
  <c r="D100" i="5"/>
  <c r="D101" i="5" s="1"/>
  <c r="C100" i="5"/>
  <c r="E99" i="5"/>
  <c r="H99" i="5" s="1"/>
  <c r="G98" i="5"/>
  <c r="F98" i="5"/>
  <c r="D98" i="5"/>
  <c r="C98" i="5"/>
  <c r="E97" i="5"/>
  <c r="E96" i="5"/>
  <c r="H96" i="5" s="1"/>
  <c r="E95" i="5"/>
  <c r="H95" i="5" s="1"/>
  <c r="E94" i="5"/>
  <c r="H94" i="5" s="1"/>
  <c r="E93" i="5"/>
  <c r="H93" i="5" s="1"/>
  <c r="E92" i="5"/>
  <c r="E98" i="5" s="1"/>
  <c r="F87" i="5"/>
  <c r="G86" i="5"/>
  <c r="F86" i="5"/>
  <c r="D86" i="5"/>
  <c r="C86" i="5"/>
  <c r="E85" i="5"/>
  <c r="H85" i="5" s="1"/>
  <c r="G84" i="5"/>
  <c r="G87" i="5" s="1"/>
  <c r="F84" i="5"/>
  <c r="D84" i="5"/>
  <c r="D87" i="5" s="1"/>
  <c r="C84" i="5"/>
  <c r="C87" i="5" s="1"/>
  <c r="E83" i="5"/>
  <c r="H83" i="5" s="1"/>
  <c r="E82" i="5"/>
  <c r="E84" i="5" s="1"/>
  <c r="F81" i="5"/>
  <c r="G80" i="5"/>
  <c r="F80" i="5"/>
  <c r="D80" i="5"/>
  <c r="C80" i="5"/>
  <c r="C81" i="5" s="1"/>
  <c r="E79" i="5"/>
  <c r="H79" i="5" s="1"/>
  <c r="E78" i="5"/>
  <c r="H78" i="5" s="1"/>
  <c r="E77" i="5"/>
  <c r="H77" i="5" s="1"/>
  <c r="G76" i="5"/>
  <c r="G81" i="5" s="1"/>
  <c r="F76" i="5"/>
  <c r="D76" i="5"/>
  <c r="D81" i="5" s="1"/>
  <c r="C76" i="5"/>
  <c r="E75" i="5"/>
  <c r="H75" i="5" s="1"/>
  <c r="G73" i="5"/>
  <c r="F73" i="5"/>
  <c r="F74" i="5" s="1"/>
  <c r="E73" i="5"/>
  <c r="H73" i="5" s="1"/>
  <c r="D73" i="5"/>
  <c r="C73" i="5"/>
  <c r="E72" i="5"/>
  <c r="H72" i="5" s="1"/>
  <c r="E71" i="5"/>
  <c r="H71" i="5" s="1"/>
  <c r="G70" i="5"/>
  <c r="G74" i="5" s="1"/>
  <c r="F70" i="5"/>
  <c r="D70" i="5"/>
  <c r="D74" i="5" s="1"/>
  <c r="C70" i="5"/>
  <c r="C74" i="5" s="1"/>
  <c r="E69" i="5"/>
  <c r="H69" i="5" s="1"/>
  <c r="E68" i="5"/>
  <c r="H68" i="5" s="1"/>
  <c r="E67" i="5"/>
  <c r="H67" i="5" s="1"/>
  <c r="G66" i="5"/>
  <c r="F66" i="5"/>
  <c r="D66" i="5"/>
  <c r="C66" i="5"/>
  <c r="E65" i="5"/>
  <c r="H65" i="5" s="1"/>
  <c r="E64" i="5"/>
  <c r="H64" i="5" s="1"/>
  <c r="E63" i="5"/>
  <c r="H63" i="5" s="1"/>
  <c r="E62" i="5"/>
  <c r="H62" i="5" s="1"/>
  <c r="E61" i="5"/>
  <c r="H61" i="5" s="1"/>
  <c r="E60" i="5"/>
  <c r="H60" i="5" s="1"/>
  <c r="E59" i="5"/>
  <c r="H59" i="5" s="1"/>
  <c r="E58" i="5"/>
  <c r="H58" i="5" s="1"/>
  <c r="E57" i="5"/>
  <c r="H57" i="5" s="1"/>
  <c r="E56" i="5"/>
  <c r="H56" i="5" s="1"/>
  <c r="E55" i="5"/>
  <c r="H55" i="5" s="1"/>
  <c r="E54" i="5"/>
  <c r="E66" i="5" s="1"/>
  <c r="H66" i="5" s="1"/>
  <c r="G53" i="5"/>
  <c r="F53" i="5"/>
  <c r="D53" i="5"/>
  <c r="C53" i="5"/>
  <c r="E52" i="5"/>
  <c r="H52" i="5" s="1"/>
  <c r="E51" i="5"/>
  <c r="H51" i="5" s="1"/>
  <c r="E50" i="5"/>
  <c r="H50" i="5" s="1"/>
  <c r="E49" i="5"/>
  <c r="H49" i="5" s="1"/>
  <c r="G43" i="5"/>
  <c r="F43" i="5"/>
  <c r="D43" i="5"/>
  <c r="C43" i="5"/>
  <c r="E42" i="5"/>
  <c r="H42" i="5" s="1"/>
  <c r="E41" i="5"/>
  <c r="H41" i="5" s="1"/>
  <c r="E40" i="5"/>
  <c r="H40" i="5" s="1"/>
  <c r="E39" i="5"/>
  <c r="H39" i="5" s="1"/>
  <c r="E38" i="5"/>
  <c r="H38" i="5" s="1"/>
  <c r="E37" i="5"/>
  <c r="H37" i="5" s="1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G24" i="5"/>
  <c r="F24" i="5"/>
  <c r="F102" i="5" s="1"/>
  <c r="D24" i="5"/>
  <c r="C24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3" i="5"/>
  <c r="H13" i="5" s="1"/>
  <c r="E12" i="5"/>
  <c r="H12" i="5" s="1"/>
  <c r="E11" i="5"/>
  <c r="E10" i="5"/>
  <c r="H10" i="5" s="1"/>
  <c r="H102" i="7" l="1"/>
  <c r="H73" i="7"/>
  <c r="H100" i="6"/>
  <c r="H101" i="6" s="1"/>
  <c r="E101" i="6"/>
  <c r="E102" i="6"/>
  <c r="H102" i="6" s="1"/>
  <c r="E43" i="5"/>
  <c r="H43" i="5" s="1"/>
  <c r="E24" i="5"/>
  <c r="G102" i="5"/>
  <c r="C102" i="5"/>
  <c r="H84" i="5"/>
  <c r="D102" i="5"/>
  <c r="H11" i="5"/>
  <c r="H24" i="5" s="1"/>
  <c r="H25" i="5"/>
  <c r="H54" i="5"/>
  <c r="H82" i="5"/>
  <c r="H92" i="5"/>
  <c r="H98" i="5" s="1"/>
  <c r="E100" i="5"/>
  <c r="E70" i="5"/>
  <c r="H70" i="5" s="1"/>
  <c r="E76" i="5"/>
  <c r="H76" i="5" s="1"/>
  <c r="E80" i="5"/>
  <c r="E86" i="5"/>
  <c r="H86" i="5" s="1"/>
  <c r="E53" i="5"/>
  <c r="H53" i="5" s="1"/>
  <c r="D101" i="4"/>
  <c r="D102" i="4" s="1"/>
  <c r="G100" i="4"/>
  <c r="F100" i="4"/>
  <c r="F101" i="4" s="1"/>
  <c r="D100" i="4"/>
  <c r="C100" i="4"/>
  <c r="H99" i="4"/>
  <c r="E99" i="4"/>
  <c r="E100" i="4" s="1"/>
  <c r="G98" i="4"/>
  <c r="F98" i="4"/>
  <c r="D98" i="4"/>
  <c r="C98" i="4"/>
  <c r="C101" i="4" s="1"/>
  <c r="E97" i="4"/>
  <c r="E96" i="4"/>
  <c r="H96" i="4" s="1"/>
  <c r="E95" i="4"/>
  <c r="H95" i="4" s="1"/>
  <c r="E94" i="4"/>
  <c r="H94" i="4" s="1"/>
  <c r="E93" i="4"/>
  <c r="H93" i="4" s="1"/>
  <c r="E92" i="4"/>
  <c r="E98" i="4" s="1"/>
  <c r="G86" i="4"/>
  <c r="D86" i="4"/>
  <c r="C86" i="4"/>
  <c r="G85" i="4"/>
  <c r="F85" i="4"/>
  <c r="D85" i="4"/>
  <c r="C85" i="4"/>
  <c r="E84" i="4"/>
  <c r="H84" i="4" s="1"/>
  <c r="G83" i="4"/>
  <c r="F83" i="4"/>
  <c r="F86" i="4" s="1"/>
  <c r="D83" i="4"/>
  <c r="C83" i="4"/>
  <c r="E82" i="4"/>
  <c r="H82" i="4" s="1"/>
  <c r="E81" i="4"/>
  <c r="H81" i="4" s="1"/>
  <c r="G80" i="4"/>
  <c r="D80" i="4"/>
  <c r="C80" i="4"/>
  <c r="G79" i="4"/>
  <c r="F79" i="4"/>
  <c r="F80" i="4" s="1"/>
  <c r="D79" i="4"/>
  <c r="C79" i="4"/>
  <c r="E78" i="4"/>
  <c r="H78" i="4" s="1"/>
  <c r="E77" i="4"/>
  <c r="H77" i="4" s="1"/>
  <c r="E76" i="4"/>
  <c r="H76" i="4" s="1"/>
  <c r="G75" i="4"/>
  <c r="F75" i="4"/>
  <c r="D75" i="4"/>
  <c r="C75" i="4"/>
  <c r="E74" i="4"/>
  <c r="H74" i="4" s="1"/>
  <c r="G72" i="4"/>
  <c r="G73" i="4" s="1"/>
  <c r="F72" i="4"/>
  <c r="D72" i="4"/>
  <c r="D73" i="4" s="1"/>
  <c r="C72" i="4"/>
  <c r="C73" i="4" s="1"/>
  <c r="E71" i="4"/>
  <c r="H71" i="4" s="1"/>
  <c r="E70" i="4"/>
  <c r="H70" i="4" s="1"/>
  <c r="G69" i="4"/>
  <c r="F69" i="4"/>
  <c r="F73" i="4" s="1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G52" i="4"/>
  <c r="F52" i="4"/>
  <c r="D52" i="4"/>
  <c r="C52" i="4"/>
  <c r="E51" i="4"/>
  <c r="H51" i="4" s="1"/>
  <c r="E50" i="4"/>
  <c r="H50" i="4" s="1"/>
  <c r="E49" i="4"/>
  <c r="H49" i="4" s="1"/>
  <c r="E48" i="4"/>
  <c r="G43" i="4"/>
  <c r="F43" i="4"/>
  <c r="D43" i="4"/>
  <c r="C43" i="4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E25" i="4"/>
  <c r="H25" i="4" s="1"/>
  <c r="G24" i="4"/>
  <c r="F24" i="4"/>
  <c r="F102" i="4" s="1"/>
  <c r="D24" i="4"/>
  <c r="C24" i="4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E87" i="5" l="1"/>
  <c r="E74" i="5"/>
  <c r="H80" i="5"/>
  <c r="E81" i="5"/>
  <c r="H81" i="5" s="1"/>
  <c r="E101" i="5"/>
  <c r="H100" i="5"/>
  <c r="H101" i="5" s="1"/>
  <c r="H87" i="5"/>
  <c r="E43" i="4"/>
  <c r="H43" i="4" s="1"/>
  <c r="E24" i="4"/>
  <c r="E52" i="4"/>
  <c r="H52" i="4" s="1"/>
  <c r="E83" i="4"/>
  <c r="H83" i="4" s="1"/>
  <c r="G102" i="4"/>
  <c r="C102" i="4"/>
  <c r="E101" i="4"/>
  <c r="H100" i="4"/>
  <c r="E79" i="4"/>
  <c r="H10" i="4"/>
  <c r="H24" i="4" s="1"/>
  <c r="H26" i="4"/>
  <c r="H48" i="4"/>
  <c r="E72" i="4"/>
  <c r="H92" i="4"/>
  <c r="H98" i="4" s="1"/>
  <c r="E69" i="4"/>
  <c r="H69" i="4" s="1"/>
  <c r="E75" i="4"/>
  <c r="H75" i="4" s="1"/>
  <c r="E85" i="4"/>
  <c r="H85" i="4" s="1"/>
  <c r="E65" i="4"/>
  <c r="H65" i="4" s="1"/>
  <c r="D99" i="2"/>
  <c r="G98" i="2"/>
  <c r="F98" i="2"/>
  <c r="F99" i="2" s="1"/>
  <c r="D98" i="2"/>
  <c r="C98" i="2"/>
  <c r="H97" i="2"/>
  <c r="E97" i="2"/>
  <c r="E98" i="2" s="1"/>
  <c r="G96" i="2"/>
  <c r="F96" i="2"/>
  <c r="D96" i="2"/>
  <c r="C96" i="2"/>
  <c r="C99" i="2" s="1"/>
  <c r="H95" i="2"/>
  <c r="E95" i="2"/>
  <c r="H94" i="2"/>
  <c r="E94" i="2"/>
  <c r="H93" i="2"/>
  <c r="E93" i="2"/>
  <c r="H92" i="2"/>
  <c r="E92" i="2"/>
  <c r="H91" i="2"/>
  <c r="E91" i="2"/>
  <c r="E96" i="2" s="1"/>
  <c r="H96" i="2" s="1"/>
  <c r="G86" i="2"/>
  <c r="F86" i="2"/>
  <c r="C86" i="2"/>
  <c r="G85" i="2"/>
  <c r="F85" i="2"/>
  <c r="D85" i="2"/>
  <c r="C85" i="2"/>
  <c r="H84" i="2"/>
  <c r="E84" i="2"/>
  <c r="E85" i="2" s="1"/>
  <c r="H85" i="2" s="1"/>
  <c r="G83" i="2"/>
  <c r="F83" i="2"/>
  <c r="D83" i="2"/>
  <c r="D86" i="2" s="1"/>
  <c r="C83" i="2"/>
  <c r="H82" i="2"/>
  <c r="E82" i="2"/>
  <c r="E83" i="2" s="1"/>
  <c r="H81" i="2"/>
  <c r="E81" i="2"/>
  <c r="G80" i="2"/>
  <c r="F80" i="2"/>
  <c r="C80" i="2"/>
  <c r="G79" i="2"/>
  <c r="F79" i="2"/>
  <c r="D79" i="2"/>
  <c r="C79" i="2"/>
  <c r="H78" i="2"/>
  <c r="E78" i="2"/>
  <c r="H77" i="2"/>
  <c r="E77" i="2"/>
  <c r="H76" i="2"/>
  <c r="E76" i="2"/>
  <c r="E79" i="2" s="1"/>
  <c r="G75" i="2"/>
  <c r="F75" i="2"/>
  <c r="D75" i="2"/>
  <c r="D80" i="2" s="1"/>
  <c r="C75" i="2"/>
  <c r="H74" i="2"/>
  <c r="E74" i="2"/>
  <c r="E75" i="2" s="1"/>
  <c r="H75" i="2" s="1"/>
  <c r="G72" i="2"/>
  <c r="G73" i="2" s="1"/>
  <c r="F72" i="2"/>
  <c r="F73" i="2" s="1"/>
  <c r="D72" i="2"/>
  <c r="C72" i="2"/>
  <c r="C73" i="2" s="1"/>
  <c r="H71" i="2"/>
  <c r="E71" i="2"/>
  <c r="H70" i="2"/>
  <c r="E70" i="2"/>
  <c r="E72" i="2" s="1"/>
  <c r="G69" i="2"/>
  <c r="F69" i="2"/>
  <c r="D69" i="2"/>
  <c r="D73" i="2" s="1"/>
  <c r="C69" i="2"/>
  <c r="H68" i="2"/>
  <c r="E68" i="2"/>
  <c r="H67" i="2"/>
  <c r="E67" i="2"/>
  <c r="H66" i="2"/>
  <c r="E66" i="2"/>
  <c r="E69" i="2" s="1"/>
  <c r="H69" i="2" s="1"/>
  <c r="G65" i="2"/>
  <c r="F65" i="2"/>
  <c r="D65" i="2"/>
  <c r="C65" i="2"/>
  <c r="H64" i="2"/>
  <c r="E64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5" i="2"/>
  <c r="E55" i="2"/>
  <c r="H54" i="2"/>
  <c r="E54" i="2"/>
  <c r="E65" i="2" s="1"/>
  <c r="H65" i="2" s="1"/>
  <c r="H53" i="2"/>
  <c r="E53" i="2"/>
  <c r="G52" i="2"/>
  <c r="F52" i="2"/>
  <c r="D52" i="2"/>
  <c r="C52" i="2"/>
  <c r="H51" i="2"/>
  <c r="E51" i="2"/>
  <c r="H50" i="2"/>
  <c r="E50" i="2"/>
  <c r="H49" i="2"/>
  <c r="E49" i="2"/>
  <c r="H48" i="2"/>
  <c r="E48" i="2"/>
  <c r="E52" i="2" s="1"/>
  <c r="H52" i="2" s="1"/>
  <c r="G43" i="2"/>
  <c r="F43" i="2"/>
  <c r="D43" i="2"/>
  <c r="C43" i="2"/>
  <c r="H42" i="2"/>
  <c r="E42" i="2"/>
  <c r="H41" i="2"/>
  <c r="E41" i="2"/>
  <c r="H40" i="2"/>
  <c r="E40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E43" i="2" s="1"/>
  <c r="H43" i="2" s="1"/>
  <c r="H25" i="2"/>
  <c r="E25" i="2"/>
  <c r="G24" i="2"/>
  <c r="G100" i="2" s="1"/>
  <c r="F24" i="2"/>
  <c r="F100" i="2" s="1"/>
  <c r="D24" i="2"/>
  <c r="C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H14" i="2"/>
  <c r="E14" i="2"/>
  <c r="H13" i="2"/>
  <c r="E13" i="2"/>
  <c r="H12" i="2"/>
  <c r="E12" i="2"/>
  <c r="H11" i="2"/>
  <c r="E11" i="2"/>
  <c r="H10" i="2"/>
  <c r="H24" i="2" s="1"/>
  <c r="E10" i="2"/>
  <c r="E24" i="2" s="1"/>
  <c r="H74" i="5" l="1"/>
  <c r="E102" i="5"/>
  <c r="H102" i="5" s="1"/>
  <c r="H86" i="4"/>
  <c r="H101" i="4"/>
  <c r="E86" i="4"/>
  <c r="H72" i="4"/>
  <c r="E73" i="4"/>
  <c r="H79" i="4"/>
  <c r="E80" i="4"/>
  <c r="H80" i="4" s="1"/>
  <c r="H83" i="2"/>
  <c r="H86" i="2" s="1"/>
  <c r="E86" i="2"/>
  <c r="H79" i="2"/>
  <c r="E80" i="2"/>
  <c r="H80" i="2" s="1"/>
  <c r="C100" i="2"/>
  <c r="E99" i="2"/>
  <c r="E100" i="2" s="1"/>
  <c r="H100" i="2" s="1"/>
  <c r="H98" i="2"/>
  <c r="H99" i="2" s="1"/>
  <c r="E73" i="2"/>
  <c r="H73" i="2" s="1"/>
  <c r="H72" i="2"/>
  <c r="D100" i="2"/>
  <c r="F100" i="1"/>
  <c r="G99" i="1"/>
  <c r="F99" i="1"/>
  <c r="D99" i="1"/>
  <c r="D100" i="1" s="1"/>
  <c r="C99" i="1"/>
  <c r="H98" i="1"/>
  <c r="E98" i="1"/>
  <c r="E99" i="1" s="1"/>
  <c r="G97" i="1"/>
  <c r="F97" i="1"/>
  <c r="D97" i="1"/>
  <c r="C97" i="1"/>
  <c r="C100" i="1" s="1"/>
  <c r="H96" i="1"/>
  <c r="E96" i="1"/>
  <c r="H95" i="1"/>
  <c r="E95" i="1"/>
  <c r="H94" i="1"/>
  <c r="E94" i="1"/>
  <c r="H93" i="1"/>
  <c r="E93" i="1"/>
  <c r="H92" i="1"/>
  <c r="E92" i="1"/>
  <c r="E97" i="1" s="1"/>
  <c r="H97" i="1" s="1"/>
  <c r="G86" i="1"/>
  <c r="D86" i="1"/>
  <c r="C86" i="1"/>
  <c r="G85" i="1"/>
  <c r="F85" i="1"/>
  <c r="D85" i="1"/>
  <c r="C85" i="1"/>
  <c r="H84" i="1"/>
  <c r="E84" i="1"/>
  <c r="E85" i="1" s="1"/>
  <c r="H85" i="1" s="1"/>
  <c r="G83" i="1"/>
  <c r="F83" i="1"/>
  <c r="F86" i="1" s="1"/>
  <c r="D83" i="1"/>
  <c r="C83" i="1"/>
  <c r="E82" i="1"/>
  <c r="E81" i="1"/>
  <c r="H81" i="1" s="1"/>
  <c r="G80" i="1"/>
  <c r="D80" i="1"/>
  <c r="C80" i="1"/>
  <c r="G79" i="1"/>
  <c r="F79" i="1"/>
  <c r="F80" i="1" s="1"/>
  <c r="D79" i="1"/>
  <c r="C79" i="1"/>
  <c r="H78" i="1"/>
  <c r="E78" i="1"/>
  <c r="H77" i="1"/>
  <c r="E77" i="1"/>
  <c r="H76" i="1"/>
  <c r="E76" i="1"/>
  <c r="G75" i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H71" i="1"/>
  <c r="E71" i="1"/>
  <c r="H70" i="1"/>
  <c r="E70" i="1"/>
  <c r="E72" i="1" s="1"/>
  <c r="G69" i="1"/>
  <c r="F69" i="1"/>
  <c r="F73" i="1" s="1"/>
  <c r="D69" i="1"/>
  <c r="C69" i="1"/>
  <c r="H68" i="1"/>
  <c r="E68" i="1"/>
  <c r="H67" i="1"/>
  <c r="E67" i="1"/>
  <c r="H66" i="1"/>
  <c r="E66" i="1"/>
  <c r="G65" i="1"/>
  <c r="F65" i="1"/>
  <c r="D65" i="1"/>
  <c r="C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E65" i="1" s="1"/>
  <c r="H65" i="1" s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G43" i="1"/>
  <c r="F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E43" i="1" s="1"/>
  <c r="H43" i="1" s="1"/>
  <c r="H25" i="1"/>
  <c r="E25" i="1"/>
  <c r="G24" i="1"/>
  <c r="G101" i="1" s="1"/>
  <c r="F24" i="1"/>
  <c r="D24" i="1"/>
  <c r="C24" i="1"/>
  <c r="H23" i="1"/>
  <c r="E23" i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E24" i="1" s="1"/>
  <c r="H73" i="4" l="1"/>
  <c r="E102" i="4"/>
  <c r="H102" i="4" s="1"/>
  <c r="E83" i="1"/>
  <c r="H83" i="1" s="1"/>
  <c r="H86" i="1" s="1"/>
  <c r="E52" i="1"/>
  <c r="H52" i="1" s="1"/>
  <c r="E69" i="1"/>
  <c r="H69" i="1" s="1"/>
  <c r="E79" i="1"/>
  <c r="E80" i="1" s="1"/>
  <c r="H80" i="1" s="1"/>
  <c r="H82" i="1"/>
  <c r="D101" i="1"/>
  <c r="H79" i="1"/>
  <c r="C101" i="1"/>
  <c r="E100" i="1"/>
  <c r="H99" i="1"/>
  <c r="H100" i="1" s="1"/>
  <c r="F101" i="1"/>
  <c r="E73" i="1"/>
  <c r="H73" i="1" s="1"/>
  <c r="H72" i="1"/>
  <c r="H10" i="1"/>
  <c r="H24" i="1" s="1"/>
  <c r="E86" i="1" l="1"/>
  <c r="E101" i="1"/>
  <c r="H101" i="1" s="1"/>
</calcChain>
</file>

<file path=xl/sharedStrings.xml><?xml version="1.0" encoding="utf-8"?>
<sst xmlns="http://schemas.openxmlformats.org/spreadsheetml/2006/main" count="1243" uniqueCount="92">
  <si>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</si>
  <si>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</si>
  <si>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</si>
  <si>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</si>
  <si>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2020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</si>
  <si>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</si>
  <si>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</si>
  <si>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</si>
  <si>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</si>
  <si>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</si>
  <si>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</si>
  <si>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</si>
  <si>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</si>
  <si>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</si>
  <si>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</si>
  <si>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</si>
  <si>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</si>
  <si>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</si>
  <si>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</si>
  <si>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</si>
  <si>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</si>
  <si>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</si>
  <si>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</si>
  <si>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</si>
  <si>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</si>
  <si>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</si>
  <si>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</si>
  <si>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</si>
  <si>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</si>
  <si>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</si>
  <si>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</si>
  <si>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</si>
  <si>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</si>
  <si>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</si>
  <si>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</si>
  <si>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</si>
  <si>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</si>
  <si>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</si>
  <si>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</si>
  <si>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</si>
  <si>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</si>
  <si>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</si>
  <si>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</si>
  <si>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</si>
  <si>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</si>
  <si>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</si>
  <si>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</si>
  <si>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</si>
  <si>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</si>
  <si>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</si>
  <si>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</si>
  <si>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</si>
  <si>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</si>
  <si>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</si>
  <si>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</si>
  <si>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</si>
  <si>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</si>
  <si>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</si>
  <si>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</si>
  <si>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</si>
  <si>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</si>
  <si>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</si>
  <si>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</si>
  <si>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</si>
  <si>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</si>
  <si>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</si>
  <si>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</si>
  <si>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</si>
  <si>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</si>
  <si>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</si>
  <si>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</si>
  <si>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</si>
  <si>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</si>
  <si>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</si>
  <si>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</si>
  <si>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</si>
  <si>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</si>
  <si>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Derechos de Propieda Intelectual</t>
  </si>
  <si>
    <t>TOTAL</t>
  </si>
  <si>
    <t>Al Personal de Servicios Eventuales</t>
  </si>
  <si>
    <t>AL 29 DE FEBRERO DE 2020</t>
  </si>
  <si>
    <t>AL 31 DE MARZO DE 2020</t>
  </si>
  <si>
    <t>Bienes Muebles Diversos</t>
  </si>
  <si>
    <t>AL 30 DE ABRIL DE 2020</t>
  </si>
  <si>
    <t>AL 31 DE MAYO DE 2020</t>
  </si>
  <si>
    <t>AL 30 DE JUNIO DE 2020</t>
  </si>
  <si>
    <t>AL 31 DE JULIO DE 2020</t>
  </si>
  <si>
    <t>AL 31 DE AGOSTO DE 2020</t>
  </si>
  <si>
    <t>AL 30 DE SEPTIEMBRE DE 2020</t>
  </si>
  <si>
    <t>AL 31 DE OCTUBRE DE 2020</t>
  </si>
  <si>
    <t>Vehiculos de Transporte</t>
  </si>
  <si>
    <t>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</si>
</sst>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sz val="11"/>
      <name val="Lucida Bright"/>
      <family val="1"/>
    </font>
    <font>
      <sz val="11"/>
      <name val="Lucida Bright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75A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49" fontId="8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44" fontId="0" fillId="0" borderId="0" xfId="2" applyFont="1"/>
    <xf numFmtId="43" fontId="0" fillId="0" borderId="0" xfId="0" applyNumberFormat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Fill="1" applyBorder="1"/>
    <xf numFmtId="0" fontId="6" fillId="0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44" fontId="6" fillId="0" borderId="2" xfId="2" applyFont="1" applyFill="1" applyBorder="1" applyAlignment="1">
      <alignment horizontal="center"/>
    </xf>
    <xf numFmtId="44" fontId="6" fillId="2" borderId="3" xfId="2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8" fillId="0" borderId="8" xfId="0" applyFont="1" applyFill="1" applyBorder="1"/>
    <xf numFmtId="0" fontId="6" fillId="0" borderId="8" xfId="0" applyFont="1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/>
    <xf numFmtId="0" fontId="8" fillId="0" borderId="11" xfId="0" applyFont="1" applyFill="1" applyBorder="1"/>
    <xf numFmtId="0" fontId="6" fillId="0" borderId="12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44" fontId="6" fillId="3" borderId="4" xfId="2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4" xfId="0" applyFont="1" applyFill="1" applyBorder="1"/>
    <xf numFmtId="165" fontId="9" fillId="0" borderId="0" xfId="0" applyNumberFormat="1" applyFont="1" applyFill="1"/>
    <xf numFmtId="0" fontId="9" fillId="0" borderId="0" xfId="0" applyFont="1" applyFill="1"/>
    <xf numFmtId="0" fontId="8" fillId="0" borderId="9" xfId="0" applyFont="1" applyFill="1" applyBorder="1"/>
    <xf numFmtId="0" fontId="8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43" fontId="1" fillId="0" borderId="0" xfId="1"/>
    <xf numFmtId="0" fontId="6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/>
    </xf>
    <xf numFmtId="44" fontId="6" fillId="4" borderId="1" xfId="2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4" fontId="6" fillId="5" borderId="2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44" fontId="6" fillId="6" borderId="1" xfId="2" applyFont="1" applyFill="1" applyBorder="1" applyAlignment="1">
      <alignment horizontal="center"/>
    </xf>
    <xf numFmtId="44" fontId="6" fillId="7" borderId="2" xfId="2" applyFont="1" applyFill="1" applyBorder="1" applyAlignment="1">
      <alignment horizontal="center"/>
    </xf>
    <xf numFmtId="0" fontId="6" fillId="0" borderId="0" xfId="0" applyFont="1"/>
    <xf numFmtId="44" fontId="8" fillId="0" borderId="6" xfId="2" applyFont="1" applyBorder="1"/>
    <xf numFmtId="44" fontId="8" fillId="0" borderId="7" xfId="2" applyFont="1" applyBorder="1"/>
    <xf numFmtId="0" fontId="10" fillId="0" borderId="0" xfId="0" applyFont="1"/>
    <xf numFmtId="44" fontId="8" fillId="0" borderId="9" xfId="2" applyFont="1" applyBorder="1"/>
    <xf numFmtId="44" fontId="8" fillId="0" borderId="9" xfId="2" applyFont="1" applyFill="1" applyBorder="1"/>
    <xf numFmtId="164" fontId="6" fillId="0" borderId="9" xfId="2" applyNumberFormat="1" applyFont="1" applyFill="1" applyBorder="1" applyAlignment="1">
      <alignment horizontal="center"/>
    </xf>
    <xf numFmtId="44" fontId="6" fillId="0" borderId="9" xfId="2" applyFont="1" applyFill="1" applyBorder="1"/>
    <xf numFmtId="44" fontId="6" fillId="4" borderId="9" xfId="2" applyFont="1" applyFill="1" applyBorder="1"/>
    <xf numFmtId="44" fontId="6" fillId="5" borderId="9" xfId="2" applyFont="1" applyFill="1" applyBorder="1"/>
    <xf numFmtId="44" fontId="6" fillId="2" borderId="10" xfId="2" applyFont="1" applyFill="1" applyBorder="1"/>
    <xf numFmtId="166" fontId="6" fillId="3" borderId="7" xfId="1" applyNumberFormat="1" applyFont="1" applyFill="1" applyBorder="1"/>
    <xf numFmtId="44" fontId="10" fillId="0" borderId="0" xfId="2" applyFont="1"/>
    <xf numFmtId="43" fontId="10" fillId="0" borderId="0" xfId="0" applyNumberFormat="1" applyFont="1"/>
    <xf numFmtId="44" fontId="8" fillId="0" borderId="12" xfId="2" applyFont="1" applyBorder="1"/>
    <xf numFmtId="44" fontId="8" fillId="0" borderId="15" xfId="2" applyFont="1" applyBorder="1"/>
    <xf numFmtId="44" fontId="6" fillId="0" borderId="2" xfId="2" applyFont="1" applyFill="1" applyBorder="1"/>
    <xf numFmtId="44" fontId="6" fillId="0" borderId="4" xfId="2" applyFont="1" applyBorder="1"/>
    <xf numFmtId="44" fontId="6" fillId="0" borderId="0" xfId="2" applyFont="1" applyFill="1" applyBorder="1"/>
    <xf numFmtId="44" fontId="6" fillId="0" borderId="0" xfId="2" applyFont="1" applyBorder="1"/>
    <xf numFmtId="44" fontId="8" fillId="0" borderId="14" xfId="2" applyFont="1" applyBorder="1"/>
    <xf numFmtId="44" fontId="8" fillId="0" borderId="25" xfId="2" applyFont="1" applyBorder="1"/>
    <xf numFmtId="44" fontId="8" fillId="0" borderId="16" xfId="2" applyFont="1" applyBorder="1"/>
    <xf numFmtId="44" fontId="6" fillId="0" borderId="16" xfId="2" applyFont="1" applyBorder="1"/>
    <xf numFmtId="44" fontId="6" fillId="2" borderId="9" xfId="2" applyFont="1" applyFill="1" applyBorder="1"/>
    <xf numFmtId="44" fontId="6" fillId="3" borderId="16" xfId="2" applyFont="1" applyFill="1" applyBorder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44" fontId="6" fillId="0" borderId="12" xfId="2" applyFont="1" applyFill="1" applyBorder="1"/>
    <xf numFmtId="44" fontId="8" fillId="0" borderId="26" xfId="2" applyFont="1" applyBorder="1"/>
    <xf numFmtId="44" fontId="6" fillId="0" borderId="18" xfId="2" applyFont="1" applyFill="1" applyBorder="1"/>
    <xf numFmtId="44" fontId="6" fillId="4" borderId="18" xfId="2" applyFont="1" applyFill="1" applyBorder="1"/>
    <xf numFmtId="44" fontId="6" fillId="5" borderId="18" xfId="2" applyFont="1" applyFill="1" applyBorder="1"/>
    <xf numFmtId="44" fontId="6" fillId="2" borderId="18" xfId="2" applyFont="1" applyFill="1" applyBorder="1"/>
    <xf numFmtId="44" fontId="6" fillId="3" borderId="19" xfId="2" applyFont="1" applyFill="1" applyBorder="1"/>
    <xf numFmtId="44" fontId="8" fillId="0" borderId="14" xfId="2" applyFont="1" applyFill="1" applyBorder="1"/>
    <xf numFmtId="165" fontId="8" fillId="0" borderId="0" xfId="0" applyNumberFormat="1" applyFont="1" applyFill="1"/>
    <xf numFmtId="0" fontId="8" fillId="0" borderId="0" xfId="0" applyFont="1" applyFill="1"/>
    <xf numFmtId="44" fontId="6" fillId="0" borderId="21" xfId="2" applyFont="1" applyFill="1" applyBorder="1"/>
    <xf numFmtId="44" fontId="8" fillId="0" borderId="21" xfId="2" applyFont="1" applyFill="1" applyBorder="1"/>
    <xf numFmtId="44" fontId="8" fillId="0" borderId="27" xfId="2" applyFont="1" applyBorder="1"/>
    <xf numFmtId="44" fontId="6" fillId="0" borderId="23" xfId="2" applyFont="1" applyFill="1" applyBorder="1"/>
    <xf numFmtId="44" fontId="6" fillId="4" borderId="23" xfId="2" applyFont="1" applyFill="1" applyBorder="1"/>
    <xf numFmtId="44" fontId="6" fillId="5" borderId="23" xfId="2" applyFont="1" applyFill="1" applyBorder="1"/>
    <xf numFmtId="44" fontId="6" fillId="2" borderId="23" xfId="2" applyFont="1" applyFill="1" applyBorder="1"/>
    <xf numFmtId="44" fontId="6" fillId="3" borderId="24" xfId="2" applyFont="1" applyFill="1" applyBorder="1"/>
    <xf numFmtId="164" fontId="6" fillId="0" borderId="14" xfId="2" applyNumberFormat="1" applyFont="1" applyFill="1" applyBorder="1" applyProtection="1"/>
    <xf numFmtId="44" fontId="6" fillId="0" borderId="14" xfId="2" applyFont="1" applyFill="1" applyBorder="1"/>
    <xf numFmtId="44" fontId="6" fillId="4" borderId="14" xfId="2" applyFont="1" applyFill="1" applyBorder="1"/>
    <xf numFmtId="44" fontId="6" fillId="5" borderId="14" xfId="2" applyFont="1" applyFill="1" applyBorder="1"/>
    <xf numFmtId="44" fontId="6" fillId="2" borderId="14" xfId="2" applyFont="1" applyFill="1" applyBorder="1"/>
    <xf numFmtId="44" fontId="6" fillId="3" borderId="25" xfId="2" applyFont="1" applyFill="1" applyBorder="1"/>
    <xf numFmtId="43" fontId="10" fillId="0" borderId="0" xfId="1" applyFont="1"/>
    <xf numFmtId="44" fontId="6" fillId="6" borderId="9" xfId="2" applyFont="1" applyFill="1" applyBorder="1"/>
    <xf numFmtId="44" fontId="6" fillId="7" borderId="9" xfId="2" applyFont="1" applyFill="1" applyBorder="1"/>
    <xf numFmtId="44" fontId="6" fillId="6" borderId="18" xfId="2" applyFont="1" applyFill="1" applyBorder="1"/>
    <xf numFmtId="44" fontId="6" fillId="7" borderId="18" xfId="2" applyFont="1" applyFill="1" applyBorder="1"/>
    <xf numFmtId="44" fontId="6" fillId="6" borderId="23" xfId="2" applyFont="1" applyFill="1" applyBorder="1"/>
    <xf numFmtId="44" fontId="6" fillId="7" borderId="23" xfId="2" applyFont="1" applyFill="1" applyBorder="1"/>
    <xf numFmtId="44" fontId="6" fillId="6" borderId="14" xfId="2" applyFont="1" applyFill="1" applyBorder="1"/>
    <xf numFmtId="44" fontId="6" fillId="7" borderId="14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9" fillId="0" borderId="6" xfId="2" applyFont="1" applyBorder="1"/>
    <xf numFmtId="44" fontId="9" fillId="0" borderId="7" xfId="2" applyFont="1" applyBorder="1"/>
    <xf numFmtId="44" fontId="9" fillId="0" borderId="9" xfId="2" applyFont="1" applyBorder="1"/>
    <xf numFmtId="44" fontId="9" fillId="0" borderId="9" xfId="2" applyFont="1" applyFill="1" applyBorder="1"/>
    <xf numFmtId="164" fontId="7" fillId="0" borderId="9" xfId="2" applyNumberFormat="1" applyFont="1" applyFill="1" applyBorder="1" applyAlignment="1">
      <alignment horizontal="center"/>
    </xf>
    <xf numFmtId="44" fontId="7" fillId="0" borderId="9" xfId="2" applyFont="1" applyFill="1" applyBorder="1"/>
    <xf numFmtId="44" fontId="7" fillId="6" borderId="9" xfId="2" applyFont="1" applyFill="1" applyBorder="1"/>
    <xf numFmtId="44" fontId="7" fillId="7" borderId="9" xfId="2" applyFont="1" applyFill="1" applyBorder="1"/>
    <xf numFmtId="44" fontId="7" fillId="2" borderId="10" xfId="2" applyFont="1" applyFill="1" applyBorder="1"/>
    <xf numFmtId="166" fontId="7" fillId="3" borderId="7" xfId="1" applyNumberFormat="1" applyFont="1" applyFill="1" applyBorder="1"/>
    <xf numFmtId="44" fontId="9" fillId="0" borderId="12" xfId="2" applyFont="1" applyBorder="1"/>
    <xf numFmtId="44" fontId="9" fillId="0" borderId="15" xfId="2" applyFont="1" applyBorder="1"/>
    <xf numFmtId="44" fontId="7" fillId="0" borderId="2" xfId="2" applyFont="1" applyFill="1" applyBorder="1"/>
    <xf numFmtId="44" fontId="7" fillId="0" borderId="4" xfId="2" applyFont="1" applyBorder="1"/>
    <xf numFmtId="44" fontId="7" fillId="0" borderId="0" xfId="2" applyFont="1" applyFill="1" applyBorder="1"/>
    <xf numFmtId="44" fontId="7" fillId="0" borderId="0" xfId="2" applyFont="1" applyBorder="1"/>
    <xf numFmtId="44" fontId="9" fillId="0" borderId="14" xfId="2" applyFont="1" applyBorder="1"/>
    <xf numFmtId="44" fontId="9" fillId="0" borderId="25" xfId="2" applyFont="1" applyBorder="1"/>
    <xf numFmtId="44" fontId="9" fillId="0" borderId="16" xfId="2" applyFont="1" applyBorder="1"/>
    <xf numFmtId="44" fontId="7" fillId="0" borderId="16" xfId="2" applyFont="1" applyBorder="1"/>
    <xf numFmtId="44" fontId="7" fillId="2" borderId="9" xfId="2" applyFont="1" applyFill="1" applyBorder="1"/>
    <xf numFmtId="44" fontId="7" fillId="3" borderId="16" xfId="2" applyFont="1" applyFill="1" applyBorder="1"/>
    <xf numFmtId="44" fontId="7" fillId="0" borderId="12" xfId="2" applyFont="1" applyFill="1" applyBorder="1"/>
    <xf numFmtId="44" fontId="9" fillId="0" borderId="26" xfId="2" applyFont="1" applyBorder="1"/>
    <xf numFmtId="44" fontId="7" fillId="0" borderId="18" xfId="2" applyFont="1" applyFill="1" applyBorder="1"/>
    <xf numFmtId="44" fontId="7" fillId="6" borderId="18" xfId="2" applyFont="1" applyFill="1" applyBorder="1"/>
    <xf numFmtId="44" fontId="7" fillId="7" borderId="18" xfId="2" applyFont="1" applyFill="1" applyBorder="1"/>
    <xf numFmtId="44" fontId="7" fillId="2" borderId="18" xfId="2" applyFont="1" applyFill="1" applyBorder="1"/>
    <xf numFmtId="44" fontId="7" fillId="3" borderId="19" xfId="2" applyFont="1" applyFill="1" applyBorder="1"/>
    <xf numFmtId="44" fontId="9" fillId="0" borderId="14" xfId="2" applyFont="1" applyFill="1" applyBorder="1"/>
    <xf numFmtId="44" fontId="7" fillId="0" borderId="21" xfId="2" applyFont="1" applyFill="1" applyBorder="1"/>
    <xf numFmtId="44" fontId="9" fillId="0" borderId="21" xfId="2" applyFont="1" applyFill="1" applyBorder="1"/>
    <xf numFmtId="44" fontId="9" fillId="0" borderId="27" xfId="2" applyFont="1" applyBorder="1"/>
    <xf numFmtId="44" fontId="7" fillId="0" borderId="23" xfId="2" applyFont="1" applyFill="1" applyBorder="1"/>
    <xf numFmtId="44" fontId="7" fillId="6" borderId="23" xfId="2" applyFont="1" applyFill="1" applyBorder="1"/>
    <xf numFmtId="44" fontId="7" fillId="7" borderId="23" xfId="2" applyFont="1" applyFill="1" applyBorder="1"/>
    <xf numFmtId="44" fontId="7" fillId="2" borderId="23" xfId="2" applyFont="1" applyFill="1" applyBorder="1"/>
    <xf numFmtId="44" fontId="7" fillId="3" borderId="24" xfId="2" applyFont="1" applyFill="1" applyBorder="1"/>
    <xf numFmtId="164" fontId="7" fillId="0" borderId="14" xfId="2" applyNumberFormat="1" applyFont="1" applyFill="1" applyBorder="1" applyProtection="1"/>
    <xf numFmtId="44" fontId="7" fillId="0" borderId="14" xfId="2" applyFont="1" applyFill="1" applyBorder="1"/>
    <xf numFmtId="44" fontId="7" fillId="6" borderId="14" xfId="2" applyFont="1" applyFill="1" applyBorder="1"/>
    <xf numFmtId="44" fontId="7" fillId="7" borderId="14" xfId="2" applyFont="1" applyFill="1" applyBorder="1"/>
    <xf numFmtId="44" fontId="7" fillId="2" borderId="14" xfId="2" applyFont="1" applyFill="1" applyBorder="1"/>
    <xf numFmtId="44" fontId="7" fillId="3" borderId="25" xfId="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9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A275AB"/>
      <color rgb="FFE69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47625</xdr:colOff>
      <xdr:row>5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7650"/>
          <a:ext cx="504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48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9526</xdr:colOff>
      <xdr:row>0</xdr:row>
      <xdr:rowOff>85725</xdr:rowOff>
    </xdr:from>
    <xdr:to>
      <xdr:col>1</xdr:col>
      <xdr:colOff>19051</xdr:colOff>
      <xdr:row>4</xdr:row>
      <xdr:rowOff>57150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85725"/>
          <a:ext cx="476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opLeftCell="A70" workbookViewId="0">
      <selection activeCell="C18" sqref="C1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52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52"/>
      <c r="H4" s="2"/>
      <c r="I4" s="1"/>
    </row>
    <row r="5" spans="1:9" ht="12.75" customHeight="1" x14ac:dyDescent="0.25">
      <c r="A5" s="2"/>
      <c r="B5" s="52"/>
      <c r="C5" s="52"/>
      <c r="D5" s="52"/>
      <c r="E5" s="52"/>
      <c r="F5" s="52"/>
      <c r="G5" s="52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51"/>
      <c r="B7" s="190" t="s">
        <v>4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65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55" t="s">
        <v>9</v>
      </c>
      <c r="F9" s="57" t="s">
        <v>10</v>
      </c>
      <c r="G9" s="6" t="s">
        <v>11</v>
      </c>
      <c r="H9" s="7" t="s">
        <v>12</v>
      </c>
    </row>
    <row r="10" spans="1:9" s="68" customFormat="1" ht="12.75" customHeight="1" x14ac:dyDescent="0.2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391054.1</v>
      </c>
      <c r="G10" s="66">
        <v>0</v>
      </c>
      <c r="H10" s="67">
        <f t="shared" ref="H10:H73" si="0">+E10-F10-G10</f>
        <v>4425925.9000000004</v>
      </c>
    </row>
    <row r="11" spans="1:9" s="68" customFormat="1" ht="12.75" customHeight="1" x14ac:dyDescent="0.2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s="68" customFormat="1" ht="12.75" customHeight="1" x14ac:dyDescent="0.2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s="68" customFormat="1" ht="12.75" customHeight="1" x14ac:dyDescent="0.2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89766.58</v>
      </c>
      <c r="G13" s="66">
        <v>0</v>
      </c>
      <c r="H13" s="67">
        <f t="shared" si="0"/>
        <v>1477129.46</v>
      </c>
    </row>
    <row r="14" spans="1:9" s="68" customFormat="1" ht="12.75" customHeight="1" x14ac:dyDescent="0.2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s="68" customFormat="1" ht="12.75" customHeight="1" x14ac:dyDescent="0.2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s="68" customFormat="1" ht="12.75" customHeight="1" x14ac:dyDescent="0.2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23189.55</v>
      </c>
      <c r="G16" s="66">
        <v>0</v>
      </c>
      <c r="H16" s="67">
        <f t="shared" si="0"/>
        <v>296455.45</v>
      </c>
    </row>
    <row r="17" spans="1:11" s="68" customFormat="1" ht="12.75" customHeight="1" x14ac:dyDescent="0.2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4979.1000000000004</v>
      </c>
      <c r="G17" s="66">
        <v>0</v>
      </c>
      <c r="H17" s="67">
        <f t="shared" si="0"/>
        <v>82708.97</v>
      </c>
    </row>
    <row r="18" spans="1:11" s="68" customFormat="1" ht="12.75" customHeight="1" x14ac:dyDescent="0.2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25927.03</v>
      </c>
      <c r="G18" s="66">
        <v>0</v>
      </c>
      <c r="H18" s="67">
        <f t="shared" si="0"/>
        <v>333013.96999999997</v>
      </c>
    </row>
    <row r="19" spans="1:11" s="68" customFormat="1" ht="12.75" customHeight="1" x14ac:dyDescent="0.2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6502.12</v>
      </c>
      <c r="G19" s="66">
        <v>0</v>
      </c>
      <c r="H19" s="67">
        <f t="shared" si="0"/>
        <v>114937.26000000001</v>
      </c>
    </row>
    <row r="20" spans="1:11" s="68" customFormat="1" ht="12.75" customHeight="1" x14ac:dyDescent="0.2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3885.76</v>
      </c>
      <c r="G20" s="66">
        <v>0</v>
      </c>
      <c r="H20" s="67">
        <f t="shared" si="0"/>
        <v>42744.24</v>
      </c>
    </row>
    <row r="21" spans="1:11" s="68" customFormat="1" ht="12.75" customHeight="1" x14ac:dyDescent="0.2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/>
      <c r="G21" s="66">
        <v>0</v>
      </c>
      <c r="H21" s="67">
        <f t="shared" si="0"/>
        <v>50055</v>
      </c>
    </row>
    <row r="22" spans="1:11" s="68" customFormat="1" ht="12.75" customHeight="1" x14ac:dyDescent="0.2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/>
      <c r="G22" s="66"/>
      <c r="H22" s="67"/>
    </row>
    <row r="23" spans="1:11" s="68" customFormat="1" ht="12.75" customHeight="1" x14ac:dyDescent="0.2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s="68" customFormat="1" ht="12.75" customHeight="1" x14ac:dyDescent="0.2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73">
        <f t="shared" si="2"/>
        <v>8316633.4699999997</v>
      </c>
      <c r="F24" s="74">
        <f t="shared" si="2"/>
        <v>545304.24</v>
      </c>
      <c r="G24" s="75">
        <f t="shared" si="2"/>
        <v>0</v>
      </c>
      <c r="H24" s="76">
        <f t="shared" si="2"/>
        <v>7764044.2299999995</v>
      </c>
    </row>
    <row r="25" spans="1:11" s="68" customFormat="1" ht="12.75" customHeight="1" x14ac:dyDescent="0.2">
      <c r="A25" s="11">
        <v>54101</v>
      </c>
      <c r="B25" s="12" t="s">
        <v>25</v>
      </c>
      <c r="C25" s="69">
        <v>45470</v>
      </c>
      <c r="D25" s="69">
        <v>331.25</v>
      </c>
      <c r="E25" s="66">
        <f t="shared" ref="E25:E42" si="3">+C25+D25</f>
        <v>45801.25</v>
      </c>
      <c r="F25" s="66">
        <v>8430.2000000000007</v>
      </c>
      <c r="G25" s="66">
        <v>0</v>
      </c>
      <c r="H25" s="67">
        <f t="shared" si="0"/>
        <v>37371.050000000003</v>
      </c>
    </row>
    <row r="26" spans="1:11" s="68" customFormat="1" ht="12.75" customHeight="1" x14ac:dyDescent="0.2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s="68" customFormat="1" ht="12.75" customHeight="1" x14ac:dyDescent="0.2">
      <c r="A27" s="11">
        <v>54104</v>
      </c>
      <c r="B27" s="12" t="s">
        <v>27</v>
      </c>
      <c r="C27" s="69">
        <v>55590</v>
      </c>
      <c r="D27" s="69"/>
      <c r="E27" s="66">
        <f t="shared" si="3"/>
        <v>55590</v>
      </c>
      <c r="F27" s="66">
        <v>0</v>
      </c>
      <c r="G27" s="66">
        <v>0</v>
      </c>
      <c r="H27" s="67">
        <f t="shared" si="0"/>
        <v>55590</v>
      </c>
    </row>
    <row r="28" spans="1:11" s="68" customFormat="1" ht="12.75" customHeight="1" x14ac:dyDescent="0.2">
      <c r="A28" s="11">
        <v>54105</v>
      </c>
      <c r="B28" s="12" t="s">
        <v>28</v>
      </c>
      <c r="C28" s="69">
        <v>27325</v>
      </c>
      <c r="D28" s="69">
        <v>11.2</v>
      </c>
      <c r="E28" s="66">
        <f t="shared" si="3"/>
        <v>27336.2</v>
      </c>
      <c r="F28" s="66">
        <v>0</v>
      </c>
      <c r="G28" s="66">
        <v>0</v>
      </c>
      <c r="H28" s="67">
        <f t="shared" si="0"/>
        <v>27336.2</v>
      </c>
      <c r="K28" s="77"/>
    </row>
    <row r="29" spans="1:11" s="68" customFormat="1" ht="12.75" customHeight="1" x14ac:dyDescent="0.2">
      <c r="A29" s="11">
        <v>54106</v>
      </c>
      <c r="B29" s="12" t="s">
        <v>29</v>
      </c>
      <c r="C29" s="69">
        <v>225</v>
      </c>
      <c r="D29" s="69"/>
      <c r="E29" s="66">
        <f t="shared" si="3"/>
        <v>225</v>
      </c>
      <c r="F29" s="66">
        <v>0</v>
      </c>
      <c r="G29" s="66">
        <v>0</v>
      </c>
      <c r="H29" s="67">
        <f t="shared" si="0"/>
        <v>225</v>
      </c>
    </row>
    <row r="30" spans="1:11" s="68" customFormat="1" ht="12.75" customHeight="1" x14ac:dyDescent="0.2">
      <c r="A30" s="11">
        <v>54107</v>
      </c>
      <c r="B30" s="12" t="s">
        <v>30</v>
      </c>
      <c r="C30" s="69">
        <v>25105</v>
      </c>
      <c r="D30" s="69">
        <v>12.5</v>
      </c>
      <c r="E30" s="66">
        <f t="shared" si="3"/>
        <v>25117.5</v>
      </c>
      <c r="F30" s="66">
        <v>0</v>
      </c>
      <c r="G30" s="66">
        <v>0</v>
      </c>
      <c r="H30" s="67">
        <f t="shared" si="0"/>
        <v>25117.5</v>
      </c>
    </row>
    <row r="31" spans="1:11" s="68" customFormat="1" ht="12.75" customHeight="1" x14ac:dyDescent="0.2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s="68" customFormat="1" ht="12.75" customHeight="1" x14ac:dyDescent="0.2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0</v>
      </c>
      <c r="G32" s="66">
        <v>0</v>
      </c>
      <c r="H32" s="67">
        <f t="shared" si="0"/>
        <v>7140</v>
      </c>
    </row>
    <row r="33" spans="1:12" s="68" customFormat="1" ht="12.75" customHeight="1" x14ac:dyDescent="0.2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0</v>
      </c>
      <c r="G33" s="66">
        <v>0</v>
      </c>
      <c r="H33" s="67">
        <f t="shared" si="0"/>
        <v>57710</v>
      </c>
    </row>
    <row r="34" spans="1:12" s="68" customFormat="1" ht="12.75" customHeight="1" x14ac:dyDescent="0.2">
      <c r="A34" s="11">
        <v>54111</v>
      </c>
      <c r="B34" s="12" t="s">
        <v>34</v>
      </c>
      <c r="C34" s="69">
        <v>925</v>
      </c>
      <c r="D34" s="69"/>
      <c r="E34" s="66">
        <f t="shared" si="3"/>
        <v>925</v>
      </c>
      <c r="F34" s="66">
        <v>0</v>
      </c>
      <c r="G34" s="66">
        <v>0</v>
      </c>
      <c r="H34" s="67">
        <f t="shared" si="0"/>
        <v>925</v>
      </c>
      <c r="L34" s="78"/>
    </row>
    <row r="35" spans="1:12" s="68" customFormat="1" ht="12.75" customHeight="1" x14ac:dyDescent="0.2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78"/>
    </row>
    <row r="36" spans="1:12" s="68" customFormat="1" ht="12.75" customHeight="1" x14ac:dyDescent="0.2">
      <c r="A36" s="11">
        <v>54113</v>
      </c>
      <c r="B36" s="12" t="s">
        <v>36</v>
      </c>
      <c r="C36" s="69">
        <v>1060</v>
      </c>
      <c r="D36" s="69"/>
      <c r="E36" s="66">
        <f t="shared" si="3"/>
        <v>1060</v>
      </c>
      <c r="F36" s="66">
        <v>0</v>
      </c>
      <c r="G36" s="66">
        <v>0</v>
      </c>
      <c r="H36" s="67">
        <f t="shared" si="0"/>
        <v>1060</v>
      </c>
      <c r="L36" s="78"/>
    </row>
    <row r="37" spans="1:12" s="68" customFormat="1" ht="12.75" customHeight="1" x14ac:dyDescent="0.2">
      <c r="A37" s="11">
        <v>54114</v>
      </c>
      <c r="B37" s="12" t="s">
        <v>37</v>
      </c>
      <c r="C37" s="69">
        <v>7275</v>
      </c>
      <c r="D37" s="69">
        <v>-744.5</v>
      </c>
      <c r="E37" s="66">
        <f t="shared" si="3"/>
        <v>6530.5</v>
      </c>
      <c r="F37" s="66">
        <v>55.5</v>
      </c>
      <c r="G37" s="66">
        <v>0</v>
      </c>
      <c r="H37" s="67">
        <f t="shared" si="0"/>
        <v>6475</v>
      </c>
    </row>
    <row r="38" spans="1:12" s="68" customFormat="1" ht="12.75" customHeight="1" x14ac:dyDescent="0.2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s="68" customFormat="1" ht="12.75" customHeight="1" x14ac:dyDescent="0.2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0</v>
      </c>
      <c r="G39" s="66">
        <v>0</v>
      </c>
      <c r="H39" s="67">
        <f t="shared" si="0"/>
        <v>800</v>
      </c>
    </row>
    <row r="40" spans="1:12" s="68" customFormat="1" ht="12.75" customHeight="1" x14ac:dyDescent="0.2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s="68" customFormat="1" ht="12.75" customHeight="1" x14ac:dyDescent="0.2">
      <c r="A41" s="11">
        <v>54119</v>
      </c>
      <c r="B41" s="12" t="s">
        <v>41</v>
      </c>
      <c r="C41" s="69">
        <v>2600</v>
      </c>
      <c r="D41" s="69"/>
      <c r="E41" s="66">
        <f t="shared" si="3"/>
        <v>2600</v>
      </c>
      <c r="F41" s="66">
        <v>0</v>
      </c>
      <c r="G41" s="66">
        <v>0</v>
      </c>
      <c r="H41" s="67">
        <f t="shared" si="0"/>
        <v>2600</v>
      </c>
    </row>
    <row r="42" spans="1:12" s="68" customFormat="1" ht="12.75" customHeight="1" thickBot="1" x14ac:dyDescent="0.25">
      <c r="A42" s="17">
        <v>54199</v>
      </c>
      <c r="B42" s="18" t="s">
        <v>42</v>
      </c>
      <c r="C42" s="79">
        <v>987925</v>
      </c>
      <c r="D42" s="79">
        <v>-414247.52</v>
      </c>
      <c r="E42" s="66">
        <f t="shared" si="3"/>
        <v>573677.48</v>
      </c>
      <c r="F42" s="66">
        <v>416700</v>
      </c>
      <c r="G42" s="66">
        <v>0</v>
      </c>
      <c r="H42" s="80">
        <f t="shared" si="0"/>
        <v>156977.47999999998</v>
      </c>
    </row>
    <row r="43" spans="1:12" s="68" customFormat="1" ht="12.75" customHeight="1" thickBot="1" x14ac:dyDescent="0.25">
      <c r="A43" s="19"/>
      <c r="B43" s="20" t="s">
        <v>43</v>
      </c>
      <c r="C43" s="81">
        <f>SUM(C25:C42)</f>
        <v>1247104</v>
      </c>
      <c r="D43" s="81">
        <f>SUM(D25:D42)</f>
        <v>-414700.87</v>
      </c>
      <c r="E43" s="81">
        <f>SUM(E25:E42)</f>
        <v>832403.13</v>
      </c>
      <c r="F43" s="81">
        <f>SUM(F25:F42)</f>
        <v>425185.7</v>
      </c>
      <c r="G43" s="81">
        <f>SUM(G25:G42)</f>
        <v>0</v>
      </c>
      <c r="H43" s="82">
        <f t="shared" si="0"/>
        <v>407217.43</v>
      </c>
    </row>
    <row r="44" spans="1:12" s="68" customFormat="1" ht="12.75" customHeight="1" x14ac:dyDescent="0.2">
      <c r="A44" s="21"/>
      <c r="B44" s="22"/>
      <c r="C44" s="83"/>
      <c r="D44" s="83"/>
      <c r="E44" s="83"/>
      <c r="F44" s="83"/>
      <c r="G44" s="83"/>
      <c r="H44" s="84"/>
    </row>
    <row r="45" spans="1:12" s="68" customFormat="1" ht="12.75" customHeight="1" x14ac:dyDescent="0.2">
      <c r="A45" s="21"/>
      <c r="B45" s="22"/>
      <c r="C45" s="83"/>
      <c r="D45" s="83"/>
      <c r="E45" s="83"/>
      <c r="F45" s="83"/>
      <c r="G45" s="83"/>
      <c r="H45" s="84"/>
    </row>
    <row r="46" spans="1:12" s="68" customFormat="1" ht="12.75" customHeight="1" thickBot="1" x14ac:dyDescent="0.25">
      <c r="A46" s="21"/>
      <c r="B46" s="22"/>
      <c r="C46" s="83"/>
      <c r="D46" s="83"/>
      <c r="E46" s="83"/>
      <c r="F46" s="83"/>
      <c r="G46" s="83"/>
      <c r="H46" s="84"/>
    </row>
    <row r="47" spans="1:12" s="68" customFormat="1" ht="12.75" customHeight="1" thickBot="1" x14ac:dyDescent="0.25">
      <c r="A47" s="3" t="s">
        <v>5</v>
      </c>
      <c r="B47" s="4" t="s">
        <v>6</v>
      </c>
      <c r="C47" s="23" t="s">
        <v>7</v>
      </c>
      <c r="D47" s="5" t="s">
        <v>8</v>
      </c>
      <c r="E47" s="56" t="s">
        <v>44</v>
      </c>
      <c r="F47" s="58" t="s">
        <v>10</v>
      </c>
      <c r="G47" s="24" t="s">
        <v>11</v>
      </c>
      <c r="H47" s="36" t="s">
        <v>12</v>
      </c>
    </row>
    <row r="48" spans="1:12" s="68" customFormat="1" ht="12.75" customHeight="1" x14ac:dyDescent="0.2">
      <c r="A48" s="25">
        <v>54201</v>
      </c>
      <c r="B48" s="26" t="s">
        <v>45</v>
      </c>
      <c r="C48" s="85">
        <v>197345</v>
      </c>
      <c r="D48" s="85">
        <v>0</v>
      </c>
      <c r="E48" s="66">
        <f t="shared" ref="E48:E51" si="4">+C48+D48</f>
        <v>197345</v>
      </c>
      <c r="F48" s="66">
        <v>11052.36</v>
      </c>
      <c r="G48" s="66">
        <v>0</v>
      </c>
      <c r="H48" s="86">
        <f t="shared" si="0"/>
        <v>186292.64</v>
      </c>
    </row>
    <row r="49" spans="1:8" s="68" customFormat="1" ht="12.75" customHeight="1" x14ac:dyDescent="0.2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1692.19</v>
      </c>
      <c r="G49" s="66">
        <v>0</v>
      </c>
      <c r="H49" s="67">
        <f t="shared" si="0"/>
        <v>40907.81</v>
      </c>
    </row>
    <row r="50" spans="1:8" s="68" customFormat="1" ht="12.75" customHeight="1" x14ac:dyDescent="0.2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17404.099999999999</v>
      </c>
      <c r="G50" s="66">
        <v>0</v>
      </c>
      <c r="H50" s="80">
        <f t="shared" si="0"/>
        <v>129862.94</v>
      </c>
    </row>
    <row r="51" spans="1:8" s="68" customFormat="1" ht="12.75" customHeight="1" x14ac:dyDescent="0.2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s="68" customFormat="1" ht="12.75" customHeight="1" x14ac:dyDescent="0.2">
      <c r="A52" s="27"/>
      <c r="B52" s="14" t="s">
        <v>43</v>
      </c>
      <c r="C52" s="72">
        <f>SUM(C48:C51)</f>
        <v>387795</v>
      </c>
      <c r="D52" s="72">
        <f>SUM(D48:D51)</f>
        <v>617.04</v>
      </c>
      <c r="E52" s="72">
        <f>SUM(E48:E51)</f>
        <v>388412.04000000004</v>
      </c>
      <c r="F52" s="72">
        <f>SUM(F48:F51)</f>
        <v>30148.65</v>
      </c>
      <c r="G52" s="72">
        <f>SUM(G48:G51)</f>
        <v>0</v>
      </c>
      <c r="H52" s="88">
        <f t="shared" si="0"/>
        <v>358263.39</v>
      </c>
    </row>
    <row r="53" spans="1:8" s="68" customFormat="1" ht="12.75" customHeight="1" x14ac:dyDescent="0.2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s="68" customFormat="1" ht="12.75" customHeight="1" x14ac:dyDescent="0.2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1527.2</v>
      </c>
      <c r="G54" s="66">
        <v>0</v>
      </c>
      <c r="H54" s="67">
        <f t="shared" si="0"/>
        <v>61472.800000000003</v>
      </c>
    </row>
    <row r="55" spans="1:8" s="68" customFormat="1" ht="12.75" customHeight="1" x14ac:dyDescent="0.2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s="68" customFormat="1" ht="12.75" customHeight="1" x14ac:dyDescent="0.2">
      <c r="A56" s="11">
        <v>54305</v>
      </c>
      <c r="B56" s="12" t="s">
        <v>52</v>
      </c>
      <c r="C56" s="69">
        <v>44600</v>
      </c>
      <c r="D56" s="69">
        <v>0</v>
      </c>
      <c r="E56" s="66">
        <f t="shared" si="5"/>
        <v>44600</v>
      </c>
      <c r="F56" s="66">
        <v>0</v>
      </c>
      <c r="G56" s="66">
        <v>0</v>
      </c>
      <c r="H56" s="87">
        <f t="shared" si="0"/>
        <v>44600</v>
      </c>
    </row>
    <row r="57" spans="1:8" s="68" customFormat="1" ht="12.75" customHeight="1" x14ac:dyDescent="0.2">
      <c r="A57" s="11">
        <v>54306</v>
      </c>
      <c r="B57" s="12" t="s">
        <v>53</v>
      </c>
      <c r="C57" s="69">
        <v>4300</v>
      </c>
      <c r="D57" s="69">
        <v>0</v>
      </c>
      <c r="E57" s="66">
        <f t="shared" si="5"/>
        <v>4300</v>
      </c>
      <c r="F57" s="66">
        <v>0</v>
      </c>
      <c r="G57" s="66">
        <v>0</v>
      </c>
      <c r="H57" s="87">
        <f t="shared" si="0"/>
        <v>4300</v>
      </c>
    </row>
    <row r="58" spans="1:8" s="68" customFormat="1" ht="12.75" customHeight="1" x14ac:dyDescent="0.2">
      <c r="A58" s="11">
        <v>54307</v>
      </c>
      <c r="B58" s="12" t="s">
        <v>54</v>
      </c>
      <c r="C58" s="69">
        <v>6500</v>
      </c>
      <c r="D58" s="69">
        <v>0</v>
      </c>
      <c r="E58" s="66">
        <f t="shared" si="5"/>
        <v>6500</v>
      </c>
      <c r="F58" s="66">
        <v>2000</v>
      </c>
      <c r="G58" s="66">
        <v>0</v>
      </c>
      <c r="H58" s="87">
        <f t="shared" si="0"/>
        <v>4500</v>
      </c>
    </row>
    <row r="59" spans="1:8" s="68" customFormat="1" ht="12.75" customHeight="1" x14ac:dyDescent="0.2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s="68" customFormat="1" ht="12.75" customHeight="1" x14ac:dyDescent="0.2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s="68" customFormat="1" ht="12.75" customHeight="1" x14ac:dyDescent="0.2">
      <c r="A61" s="11">
        <v>54314</v>
      </c>
      <c r="B61" s="12" t="s">
        <v>57</v>
      </c>
      <c r="C61" s="69">
        <v>35810</v>
      </c>
      <c r="D61" s="69">
        <v>90</v>
      </c>
      <c r="E61" s="66">
        <f t="shared" si="5"/>
        <v>35900</v>
      </c>
      <c r="F61" s="66">
        <v>90</v>
      </c>
      <c r="G61" s="66">
        <v>0</v>
      </c>
      <c r="H61" s="87">
        <f t="shared" si="0"/>
        <v>35810</v>
      </c>
    </row>
    <row r="62" spans="1:8" s="68" customFormat="1" ht="12.75" customHeight="1" x14ac:dyDescent="0.2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s="68" customFormat="1" ht="12.75" customHeight="1" x14ac:dyDescent="0.2">
      <c r="A63" s="11">
        <v>54317</v>
      </c>
      <c r="B63" s="12" t="s">
        <v>59</v>
      </c>
      <c r="C63" s="69">
        <v>598270</v>
      </c>
      <c r="D63" s="69">
        <v>2400</v>
      </c>
      <c r="E63" s="66">
        <f t="shared" si="5"/>
        <v>600670</v>
      </c>
      <c r="F63" s="66">
        <v>575728.92000000004</v>
      </c>
      <c r="G63" s="66">
        <v>0</v>
      </c>
      <c r="H63" s="87">
        <f t="shared" si="0"/>
        <v>24941.079999999958</v>
      </c>
    </row>
    <row r="64" spans="1:8" s="68" customFormat="1" ht="12.75" customHeight="1" x14ac:dyDescent="0.2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439.82</v>
      </c>
      <c r="G64" s="66">
        <v>0</v>
      </c>
      <c r="H64" s="87">
        <f t="shared" si="0"/>
        <v>52487.98</v>
      </c>
    </row>
    <row r="65" spans="1:9" s="68" customFormat="1" ht="12.75" customHeight="1" x14ac:dyDescent="0.2">
      <c r="A65" s="27"/>
      <c r="B65" s="14" t="s">
        <v>43</v>
      </c>
      <c r="C65" s="72">
        <f>SUM(C53:C64)</f>
        <v>896670</v>
      </c>
      <c r="D65" s="72">
        <f>SUM(D53:D64)</f>
        <v>10957.8</v>
      </c>
      <c r="E65" s="72">
        <f>SUM(E53:E64)</f>
        <v>907627.8</v>
      </c>
      <c r="F65" s="72">
        <f>SUM(F53:F64)</f>
        <v>594281.34</v>
      </c>
      <c r="G65" s="72">
        <f>SUM(G53:G64)</f>
        <v>0</v>
      </c>
      <c r="H65" s="88">
        <f t="shared" si="0"/>
        <v>313346.46000000008</v>
      </c>
    </row>
    <row r="66" spans="1:9" s="68" customFormat="1" ht="12.75" customHeight="1" x14ac:dyDescent="0.2">
      <c r="A66" s="11">
        <v>54402</v>
      </c>
      <c r="B66" s="12" t="s">
        <v>61</v>
      </c>
      <c r="C66" s="69">
        <v>11035</v>
      </c>
      <c r="D66" s="69">
        <v>0</v>
      </c>
      <c r="E66" s="66">
        <f t="shared" ref="E66:E68" si="6">+C66+D66</f>
        <v>11035</v>
      </c>
      <c r="F66" s="66"/>
      <c r="G66" s="69">
        <v>0</v>
      </c>
      <c r="H66" s="87">
        <f t="shared" si="0"/>
        <v>11035</v>
      </c>
    </row>
    <row r="67" spans="1:9" s="68" customFormat="1" ht="12.75" customHeight="1" x14ac:dyDescent="0.2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321</v>
      </c>
      <c r="G67" s="66">
        <v>0</v>
      </c>
      <c r="H67" s="87">
        <f t="shared" si="0"/>
        <v>11190</v>
      </c>
    </row>
    <row r="68" spans="1:9" s="68" customFormat="1" ht="12.75" customHeight="1" x14ac:dyDescent="0.2">
      <c r="A68" s="11">
        <v>54404</v>
      </c>
      <c r="B68" s="12" t="s">
        <v>63</v>
      </c>
      <c r="C68" s="69">
        <v>20000</v>
      </c>
      <c r="D68" s="69">
        <v>0</v>
      </c>
      <c r="E68" s="66">
        <f t="shared" si="6"/>
        <v>20000</v>
      </c>
      <c r="F68" s="66">
        <v>0</v>
      </c>
      <c r="G68" s="66">
        <v>0</v>
      </c>
      <c r="H68" s="87">
        <f t="shared" si="0"/>
        <v>20000</v>
      </c>
    </row>
    <row r="69" spans="1:9" s="68" customFormat="1" ht="12.75" customHeight="1" x14ac:dyDescent="0.2">
      <c r="A69" s="27"/>
      <c r="B69" s="14" t="s">
        <v>43</v>
      </c>
      <c r="C69" s="72">
        <f>SUM(C66:C68)</f>
        <v>42495</v>
      </c>
      <c r="D69" s="72">
        <f>SUM(D66:D68)</f>
        <v>51</v>
      </c>
      <c r="E69" s="72">
        <f>SUM(E66:E68)</f>
        <v>42546</v>
      </c>
      <c r="F69" s="72">
        <f>SUM(F66:F68)</f>
        <v>321</v>
      </c>
      <c r="G69" s="72">
        <f>SUM(G66:G68)</f>
        <v>0</v>
      </c>
      <c r="H69" s="88">
        <f t="shared" si="0"/>
        <v>42225</v>
      </c>
    </row>
    <row r="70" spans="1:9" s="68" customFormat="1" ht="12.75" customHeight="1" x14ac:dyDescent="0.2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s="68" customFormat="1" ht="12.75" customHeight="1" x14ac:dyDescent="0.2">
      <c r="A71" s="11">
        <v>54599</v>
      </c>
      <c r="B71" s="12" t="s">
        <v>65</v>
      </c>
      <c r="C71" s="69">
        <v>78800</v>
      </c>
      <c r="D71" s="69">
        <v>-10808.44</v>
      </c>
      <c r="E71" s="66">
        <f t="shared" si="7"/>
        <v>67991.56</v>
      </c>
      <c r="F71" s="66">
        <v>0</v>
      </c>
      <c r="G71" s="66">
        <v>0</v>
      </c>
      <c r="H71" s="87">
        <f t="shared" si="0"/>
        <v>67991.56</v>
      </c>
    </row>
    <row r="72" spans="1:9" s="68" customFormat="1" ht="12.75" customHeight="1" x14ac:dyDescent="0.2">
      <c r="A72" s="27"/>
      <c r="B72" s="14" t="s">
        <v>43</v>
      </c>
      <c r="C72" s="72">
        <f>SUM(C70:C71)</f>
        <v>85800</v>
      </c>
      <c r="D72" s="72">
        <f>SUM(D70:D71)</f>
        <v>-10808.44</v>
      </c>
      <c r="E72" s="72">
        <f>SUM(E70:E71)</f>
        <v>74991.56</v>
      </c>
      <c r="F72" s="72">
        <f>SUM(F70:F71)</f>
        <v>0</v>
      </c>
      <c r="G72" s="72">
        <f>SUM(G70:G71)</f>
        <v>0</v>
      </c>
      <c r="H72" s="87">
        <f t="shared" si="0"/>
        <v>74991.56</v>
      </c>
    </row>
    <row r="73" spans="1:9" s="68" customFormat="1" ht="12.75" customHeight="1" x14ac:dyDescent="0.2">
      <c r="A73" s="28"/>
      <c r="B73" s="14" t="s">
        <v>24</v>
      </c>
      <c r="C73" s="72">
        <f>+C72+C69+C65+C52+C43</f>
        <v>2659864</v>
      </c>
      <c r="D73" s="72">
        <f>+D72+D69+D65+D52+D43</f>
        <v>-413883.47</v>
      </c>
      <c r="E73" s="73">
        <f>+E72+E69+E65+E52+E43</f>
        <v>2245980.5300000003</v>
      </c>
      <c r="F73" s="74">
        <f>+F72+F69+F65+F52+F43</f>
        <v>1049936.69</v>
      </c>
      <c r="G73" s="89">
        <f>+G72+G69+G65+G52+G43</f>
        <v>0</v>
      </c>
      <c r="H73" s="90">
        <f t="shared" si="0"/>
        <v>1196043.8400000003</v>
      </c>
    </row>
    <row r="74" spans="1:9" s="68" customFormat="1" ht="12.75" customHeight="1" x14ac:dyDescent="0.2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9" si="8">+E74-F74-G74</f>
        <v>4710</v>
      </c>
    </row>
    <row r="75" spans="1:9" s="68" customFormat="1" ht="12.75" customHeight="1" x14ac:dyDescent="0.2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s="68" customFormat="1" ht="12.75" customHeight="1" x14ac:dyDescent="0.2">
      <c r="A76" s="11">
        <v>55601</v>
      </c>
      <c r="B76" s="12" t="s">
        <v>67</v>
      </c>
      <c r="C76" s="69">
        <v>48000</v>
      </c>
      <c r="D76" s="69">
        <v>0</v>
      </c>
      <c r="E76" s="66">
        <f t="shared" ref="E76:E78" si="9">+C76+D76</f>
        <v>48000</v>
      </c>
      <c r="F76" s="66">
        <v>36024.28</v>
      </c>
      <c r="G76" s="66">
        <v>0</v>
      </c>
      <c r="H76" s="87">
        <f t="shared" si="8"/>
        <v>11975.720000000001</v>
      </c>
    </row>
    <row r="77" spans="1:9" s="68" customFormat="1" ht="12.75" customHeight="1" x14ac:dyDescent="0.2">
      <c r="A77" s="11">
        <v>55602</v>
      </c>
      <c r="B77" s="12" t="s">
        <v>68</v>
      </c>
      <c r="C77" s="69">
        <v>26000</v>
      </c>
      <c r="D77" s="69">
        <v>0</v>
      </c>
      <c r="E77" s="66">
        <f t="shared" si="9"/>
        <v>26000</v>
      </c>
      <c r="F77" s="66">
        <v>0</v>
      </c>
      <c r="G77" s="66">
        <v>0</v>
      </c>
      <c r="H77" s="87">
        <f t="shared" si="8"/>
        <v>26000</v>
      </c>
    </row>
    <row r="78" spans="1:9" s="68" customFormat="1" ht="12.75" customHeight="1" x14ac:dyDescent="0.2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s="68" customFormat="1" ht="12.75" customHeight="1" x14ac:dyDescent="0.2">
      <c r="A79" s="27"/>
      <c r="B79" s="14" t="s">
        <v>43</v>
      </c>
      <c r="C79" s="72">
        <f>SUM(C76:C78)</f>
        <v>74025</v>
      </c>
      <c r="D79" s="72">
        <f>SUM(D76:D77)</f>
        <v>0</v>
      </c>
      <c r="E79" s="72">
        <f>SUM(E76:E78)</f>
        <v>74025</v>
      </c>
      <c r="F79" s="72">
        <f>SUM(F76:F78)</f>
        <v>36049.279999999999</v>
      </c>
      <c r="G79" s="72">
        <f>SUM(G76:G78)</f>
        <v>0</v>
      </c>
      <c r="H79" s="87">
        <f t="shared" si="8"/>
        <v>37975.72</v>
      </c>
      <c r="I79" s="91"/>
    </row>
    <row r="80" spans="1:9" s="68" customFormat="1" ht="12.75" customHeight="1" x14ac:dyDescent="0.2">
      <c r="A80" s="28"/>
      <c r="B80" s="14" t="s">
        <v>24</v>
      </c>
      <c r="C80" s="72">
        <f>+C79+C75</f>
        <v>78735</v>
      </c>
      <c r="D80" s="72">
        <f>+D75+D79</f>
        <v>0</v>
      </c>
      <c r="E80" s="73">
        <f>+E79+E75</f>
        <v>78735</v>
      </c>
      <c r="F80" s="74">
        <f>+F79+F75</f>
        <v>36049.279999999999</v>
      </c>
      <c r="G80" s="89">
        <f>+G75+G79</f>
        <v>0</v>
      </c>
      <c r="H80" s="90">
        <f t="shared" si="8"/>
        <v>42685.72</v>
      </c>
      <c r="I80" s="91"/>
    </row>
    <row r="81" spans="1:9" s="93" customFormat="1" ht="12.75" customHeight="1" x14ac:dyDescent="0.2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92"/>
    </row>
    <row r="82" spans="1:9" s="93" customFormat="1" ht="12.75" customHeight="1" x14ac:dyDescent="0.2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92"/>
    </row>
    <row r="83" spans="1:9" s="93" customFormat="1" ht="12.75" customHeight="1" x14ac:dyDescent="0.2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92"/>
    </row>
    <row r="84" spans="1:9" s="93" customFormat="1" ht="12.75" customHeight="1" x14ac:dyDescent="0.2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5500</v>
      </c>
      <c r="G84" s="69">
        <v>0</v>
      </c>
      <c r="H84" s="87">
        <f t="shared" si="8"/>
        <v>0</v>
      </c>
      <c r="I84" s="92"/>
    </row>
    <row r="85" spans="1:9" s="93" customFormat="1" ht="12.75" customHeight="1" thickBot="1" x14ac:dyDescent="0.25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5500</v>
      </c>
      <c r="G85" s="94">
        <f>SUM(G84)</f>
        <v>0</v>
      </c>
      <c r="H85" s="95">
        <f t="shared" si="8"/>
        <v>0</v>
      </c>
      <c r="I85" s="92"/>
    </row>
    <row r="86" spans="1:9" s="93" customFormat="1" ht="12.75" customHeight="1" thickBot="1" x14ac:dyDescent="0.25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97">
        <f t="shared" si="11"/>
        <v>9500</v>
      </c>
      <c r="F86" s="98">
        <f t="shared" si="11"/>
        <v>5500</v>
      </c>
      <c r="G86" s="99">
        <f t="shared" si="11"/>
        <v>0</v>
      </c>
      <c r="H86" s="100">
        <f t="shared" si="11"/>
        <v>4000</v>
      </c>
      <c r="I86" s="92"/>
    </row>
    <row r="87" spans="1:9" s="93" customFormat="1" ht="12.75" customHeight="1" x14ac:dyDescent="0.2">
      <c r="A87" s="22"/>
      <c r="B87" s="22"/>
      <c r="C87" s="83"/>
      <c r="D87" s="83"/>
      <c r="E87" s="83"/>
      <c r="F87" s="83"/>
      <c r="G87" s="83"/>
      <c r="H87" s="83"/>
      <c r="I87" s="92"/>
    </row>
    <row r="88" spans="1:9" s="93" customFormat="1" ht="12.75" customHeight="1" x14ac:dyDescent="0.2">
      <c r="A88" s="22"/>
      <c r="B88" s="22"/>
      <c r="C88" s="83"/>
      <c r="D88" s="83"/>
      <c r="E88" s="83"/>
      <c r="F88" s="83"/>
      <c r="G88" s="83"/>
      <c r="H88" s="83"/>
      <c r="I88" s="92"/>
    </row>
    <row r="89" spans="1:9" s="93" customFormat="1" ht="12.75" customHeight="1" x14ac:dyDescent="0.2">
      <c r="A89" s="22"/>
      <c r="B89" s="22"/>
      <c r="C89" s="83"/>
      <c r="D89" s="83"/>
      <c r="E89" s="83"/>
      <c r="F89" s="83"/>
      <c r="G89" s="83"/>
      <c r="H89" s="83"/>
      <c r="I89" s="92"/>
    </row>
    <row r="90" spans="1:9" s="93" customFormat="1" ht="12.75" customHeight="1" thickBot="1" x14ac:dyDescent="0.25">
      <c r="A90" s="22"/>
      <c r="B90" s="22"/>
      <c r="C90" s="83"/>
      <c r="D90" s="83"/>
      <c r="E90" s="83"/>
      <c r="F90" s="83"/>
      <c r="G90" s="83"/>
      <c r="H90" s="83"/>
      <c r="I90" s="92"/>
    </row>
    <row r="91" spans="1:9" s="93" customFormat="1" ht="12.75" customHeight="1" thickBot="1" x14ac:dyDescent="0.25">
      <c r="A91" s="3" t="s">
        <v>5</v>
      </c>
      <c r="B91" s="4" t="s">
        <v>6</v>
      </c>
      <c r="C91" s="23" t="s">
        <v>7</v>
      </c>
      <c r="D91" s="5" t="s">
        <v>8</v>
      </c>
      <c r="E91" s="56" t="s">
        <v>44</v>
      </c>
      <c r="F91" s="58" t="s">
        <v>10</v>
      </c>
      <c r="G91" s="24" t="s">
        <v>11</v>
      </c>
      <c r="H91" s="36" t="s">
        <v>12</v>
      </c>
      <c r="I91" s="92"/>
    </row>
    <row r="92" spans="1:9" s="103" customFormat="1" ht="12.75" customHeight="1" x14ac:dyDescent="0.2">
      <c r="A92" s="37">
        <v>61101</v>
      </c>
      <c r="B92" s="38" t="s">
        <v>73</v>
      </c>
      <c r="C92" s="101">
        <v>3060</v>
      </c>
      <c r="D92" s="101">
        <v>0</v>
      </c>
      <c r="E92" s="85">
        <f t="shared" ref="E92:E96" si="12">+C92+D92</f>
        <v>3060</v>
      </c>
      <c r="F92" s="85">
        <v>0</v>
      </c>
      <c r="G92" s="101">
        <v>0</v>
      </c>
      <c r="H92" s="86">
        <f t="shared" si="8"/>
        <v>3060</v>
      </c>
      <c r="I92" s="102"/>
    </row>
    <row r="93" spans="1:9" s="103" customFormat="1" ht="12.75" customHeight="1" x14ac:dyDescent="0.2">
      <c r="A93" s="27">
        <v>61102</v>
      </c>
      <c r="B93" s="41" t="s">
        <v>74</v>
      </c>
      <c r="C93" s="70">
        <v>6760</v>
      </c>
      <c r="D93" s="70">
        <v>0</v>
      </c>
      <c r="E93" s="66">
        <f t="shared" si="12"/>
        <v>6760</v>
      </c>
      <c r="F93" s="66">
        <v>0</v>
      </c>
      <c r="G93" s="70">
        <v>0</v>
      </c>
      <c r="H93" s="87">
        <f t="shared" si="8"/>
        <v>6760</v>
      </c>
      <c r="I93" s="102"/>
    </row>
    <row r="94" spans="1:9" s="103" customFormat="1" ht="12.75" customHeight="1" x14ac:dyDescent="0.2">
      <c r="A94" s="27">
        <v>61103</v>
      </c>
      <c r="B94" s="41" t="s">
        <v>75</v>
      </c>
      <c r="C94" s="70">
        <v>500</v>
      </c>
      <c r="D94" s="70">
        <v>0</v>
      </c>
      <c r="E94" s="66">
        <f t="shared" si="12"/>
        <v>500</v>
      </c>
      <c r="F94" s="66">
        <v>0</v>
      </c>
      <c r="G94" s="70">
        <v>0</v>
      </c>
      <c r="H94" s="87">
        <f t="shared" si="8"/>
        <v>500</v>
      </c>
      <c r="I94" s="102"/>
    </row>
    <row r="95" spans="1:9" s="103" customFormat="1" ht="12.75" customHeight="1" x14ac:dyDescent="0.2">
      <c r="A95" s="27">
        <v>61104</v>
      </c>
      <c r="B95" s="41" t="s">
        <v>76</v>
      </c>
      <c r="C95" s="70">
        <v>16000</v>
      </c>
      <c r="D95" s="70">
        <v>0</v>
      </c>
      <c r="E95" s="66">
        <f t="shared" si="12"/>
        <v>16000</v>
      </c>
      <c r="F95" s="66">
        <v>0</v>
      </c>
      <c r="G95" s="70">
        <v>0</v>
      </c>
      <c r="H95" s="87">
        <f t="shared" si="8"/>
        <v>16000</v>
      </c>
      <c r="I95" s="102"/>
    </row>
    <row r="96" spans="1:9" s="93" customFormat="1" ht="12.75" customHeight="1" x14ac:dyDescent="0.2">
      <c r="A96" s="11">
        <v>61108</v>
      </c>
      <c r="B96" s="12" t="s">
        <v>40</v>
      </c>
      <c r="C96" s="69">
        <v>1000</v>
      </c>
      <c r="D96" s="69">
        <v>0</v>
      </c>
      <c r="E96" s="66">
        <f t="shared" si="12"/>
        <v>1000</v>
      </c>
      <c r="F96" s="66">
        <v>0</v>
      </c>
      <c r="G96" s="69">
        <v>0</v>
      </c>
      <c r="H96" s="87">
        <f t="shared" si="8"/>
        <v>1000</v>
      </c>
      <c r="I96" s="92"/>
    </row>
    <row r="97" spans="1:10" s="93" customFormat="1" ht="12.75" customHeight="1" x14ac:dyDescent="0.2">
      <c r="A97" s="27"/>
      <c r="B97" s="14" t="s">
        <v>43</v>
      </c>
      <c r="C97" s="72">
        <f>SUM(C92:C96)</f>
        <v>27320</v>
      </c>
      <c r="D97" s="72">
        <f>SUM(D92:D96)</f>
        <v>0</v>
      </c>
      <c r="E97" s="72">
        <f>SUM(E92:E96)</f>
        <v>27320</v>
      </c>
      <c r="F97" s="72">
        <f>SUM(F92:F96)</f>
        <v>0</v>
      </c>
      <c r="G97" s="72">
        <f>SUM(G96)</f>
        <v>0</v>
      </c>
      <c r="H97" s="88">
        <f t="shared" si="8"/>
        <v>27320</v>
      </c>
      <c r="I97" s="92"/>
    </row>
    <row r="98" spans="1:10" s="93" customFormat="1" ht="12.75" customHeight="1" x14ac:dyDescent="0.2">
      <c r="A98" s="11">
        <v>61403</v>
      </c>
      <c r="B98" s="12" t="s">
        <v>77</v>
      </c>
      <c r="C98" s="69">
        <v>9235</v>
      </c>
      <c r="D98" s="69"/>
      <c r="E98" s="66">
        <f>+C98+D98</f>
        <v>9235</v>
      </c>
      <c r="F98" s="69">
        <v>0</v>
      </c>
      <c r="G98" s="69">
        <v>0</v>
      </c>
      <c r="H98" s="87">
        <f t="shared" si="8"/>
        <v>9235</v>
      </c>
      <c r="I98" s="92"/>
    </row>
    <row r="99" spans="1:10" s="93" customFormat="1" ht="12.75" customHeight="1" thickBot="1" x14ac:dyDescent="0.25">
      <c r="A99" s="42"/>
      <c r="B99" s="43" t="s">
        <v>43</v>
      </c>
      <c r="C99" s="104">
        <f>+C98</f>
        <v>9235</v>
      </c>
      <c r="D99" s="104">
        <f>+D98</f>
        <v>0</v>
      </c>
      <c r="E99" s="105">
        <f>+E98</f>
        <v>9235</v>
      </c>
      <c r="F99" s="105">
        <f>+F98</f>
        <v>0</v>
      </c>
      <c r="G99" s="105">
        <f>SUM(G98)</f>
        <v>0</v>
      </c>
      <c r="H99" s="106">
        <f t="shared" si="8"/>
        <v>9235</v>
      </c>
      <c r="I99" s="92"/>
    </row>
    <row r="100" spans="1:10" s="93" customFormat="1" ht="12.75" customHeight="1" thickBot="1" x14ac:dyDescent="0.25">
      <c r="A100" s="44"/>
      <c r="B100" s="45" t="s">
        <v>24</v>
      </c>
      <c r="C100" s="107">
        <f>+C97+C99</f>
        <v>36555</v>
      </c>
      <c r="D100" s="107">
        <f>+D99+D97</f>
        <v>0</v>
      </c>
      <c r="E100" s="108">
        <f>+E99+E97</f>
        <v>36555</v>
      </c>
      <c r="F100" s="109">
        <f>+F99+F97</f>
        <v>0</v>
      </c>
      <c r="G100" s="110">
        <v>0</v>
      </c>
      <c r="H100" s="111">
        <f>+H99+H97</f>
        <v>36555</v>
      </c>
      <c r="I100" s="92"/>
    </row>
    <row r="101" spans="1:10" s="68" customFormat="1" ht="12.75" customHeight="1" x14ac:dyDescent="0.2">
      <c r="A101" s="46"/>
      <c r="B101" s="47" t="s">
        <v>78</v>
      </c>
      <c r="C101" s="112">
        <f>+C100+C86+C80+C73+C24</f>
        <v>10687404</v>
      </c>
      <c r="D101" s="113">
        <f>+D100+D86+D80+D73+D24</f>
        <v>0</v>
      </c>
      <c r="E101" s="114">
        <f>+E24+E73+E80+E100+E86</f>
        <v>10687404</v>
      </c>
      <c r="F101" s="115">
        <f>+F24+F73+F80+F100+F86</f>
        <v>1636790.21</v>
      </c>
      <c r="G101" s="116">
        <f>+G24+G73+G80+G100+G86</f>
        <v>0</v>
      </c>
      <c r="H101" s="117">
        <f>+E101-F101-G101</f>
        <v>9050613.7899999991</v>
      </c>
      <c r="I101" s="91"/>
    </row>
    <row r="102" spans="1:10" s="68" customFormat="1" ht="12.75" customHeight="1" x14ac:dyDescent="0.2">
      <c r="C102" s="118"/>
      <c r="D102" s="118"/>
      <c r="E102" s="118"/>
      <c r="F102" s="118"/>
      <c r="G102" s="118"/>
      <c r="H102" s="91"/>
      <c r="I102" s="91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J109" s="29"/>
    </row>
    <row r="110" spans="1:10" ht="12.75" customHeight="1" x14ac:dyDescent="0.25">
      <c r="C110" s="48"/>
      <c r="D110" s="48"/>
      <c r="E110" s="48"/>
      <c r="F110" s="48"/>
      <c r="G110" s="48"/>
    </row>
    <row r="111" spans="1:10" ht="12.75" customHeight="1" x14ac:dyDescent="0.25">
      <c r="C111" s="49"/>
      <c r="D111" s="49"/>
      <c r="E111" s="49"/>
      <c r="F111" s="49"/>
      <c r="G111" s="49"/>
      <c r="H111" s="49"/>
    </row>
    <row r="112" spans="1:10" ht="12.75" customHeight="1" x14ac:dyDescent="0.25">
      <c r="C112" s="50"/>
      <c r="D112" s="50"/>
      <c r="E112" s="50"/>
      <c r="F112" s="50"/>
      <c r="G112" s="50"/>
      <c r="H112" s="50"/>
    </row>
  </sheetData>
  <mergeCells count="6">
    <mergeCell ref="A8:H8"/>
    <mergeCell ref="B3:F3"/>
    <mergeCell ref="B2:I2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ENE-2020&amp;R&amp;P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J93" sqref="J93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86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86"/>
      <c r="H4" s="2"/>
      <c r="I4" s="1"/>
    </row>
    <row r="5" spans="1:9" ht="12.75" customHeight="1" x14ac:dyDescent="0.25">
      <c r="A5" s="2"/>
      <c r="B5" s="186"/>
      <c r="C5" s="186"/>
      <c r="D5" s="186"/>
      <c r="E5" s="186"/>
      <c r="F5" s="186"/>
      <c r="G5" s="186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85"/>
      <c r="B7" s="190" t="s">
        <v>89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-97063.17</v>
      </c>
      <c r="E10" s="129">
        <f>+C10+D10</f>
        <v>4781516.83</v>
      </c>
      <c r="F10" s="129">
        <v>3908771.1</v>
      </c>
      <c r="G10" s="129">
        <f>103687.22-27588.17</f>
        <v>76099.05</v>
      </c>
      <c r="H10" s="130">
        <f t="shared" ref="H10:H73" si="0">+E10-F10-G10</f>
        <v>796646.67999999993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-3193.82</v>
      </c>
      <c r="E11" s="129">
        <f t="shared" ref="E11:E23" si="1">+C11+D11</f>
        <v>176576.18</v>
      </c>
      <c r="F11" s="129"/>
      <c r="G11" s="129">
        <v>0</v>
      </c>
      <c r="H11" s="130">
        <f t="shared" si="0"/>
        <v>176576.18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-9950</v>
      </c>
      <c r="E12" s="129">
        <f t="shared" si="1"/>
        <v>499000</v>
      </c>
      <c r="F12" s="129">
        <v>113350</v>
      </c>
      <c r="G12" s="129">
        <f>2900-1750</f>
        <v>1150</v>
      </c>
      <c r="H12" s="130">
        <f t="shared" si="0"/>
        <v>384500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344787.97</v>
      </c>
      <c r="E13" s="129">
        <f t="shared" si="1"/>
        <v>1520142.97</v>
      </c>
      <c r="F13" s="129">
        <v>1188704.72</v>
      </c>
      <c r="G13" s="129">
        <f>113734.52-54628.07</f>
        <v>59106.450000000004</v>
      </c>
      <c r="H13" s="130">
        <f t="shared" si="0"/>
        <v>272331.8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13687.8</v>
      </c>
      <c r="E14" s="129">
        <f t="shared" si="1"/>
        <v>50197.8</v>
      </c>
      <c r="F14" s="129"/>
      <c r="G14" s="129">
        <v>0</v>
      </c>
      <c r="H14" s="130">
        <f t="shared" si="0"/>
        <v>50197.8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38100</v>
      </c>
      <c r="E15" s="129">
        <f t="shared" si="1"/>
        <v>142100</v>
      </c>
      <c r="F15" s="129">
        <v>28400</v>
      </c>
      <c r="G15" s="129">
        <v>3700</v>
      </c>
      <c r="H15" s="130">
        <f t="shared" si="0"/>
        <v>110000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-11416.84</v>
      </c>
      <c r="E16" s="129">
        <f t="shared" si="1"/>
        <v>311528.15999999997</v>
      </c>
      <c r="F16" s="129">
        <v>233308.81</v>
      </c>
      <c r="G16" s="129">
        <f>32930.1-7571.2</f>
        <v>25358.899999999998</v>
      </c>
      <c r="H16" s="130">
        <f t="shared" si="0"/>
        <v>52860.449999999983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18321.349999999999</v>
      </c>
      <c r="E17" s="129">
        <f t="shared" si="1"/>
        <v>84731.35</v>
      </c>
      <c r="F17" s="129">
        <v>64608.34</v>
      </c>
      <c r="G17" s="129">
        <f>8324.51-3502.36</f>
        <v>4822.1499999999996</v>
      </c>
      <c r="H17" s="130">
        <f t="shared" si="0"/>
        <v>15300.86000000001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-16009.59</v>
      </c>
      <c r="E18" s="129">
        <f t="shared" si="1"/>
        <v>347705.41</v>
      </c>
      <c r="F18" s="129">
        <v>255821.47</v>
      </c>
      <c r="G18" s="129">
        <f>43165.25-10625.27</f>
        <v>32539.98</v>
      </c>
      <c r="H18" s="130">
        <f t="shared" si="0"/>
        <v>59343.959999999977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25307.83</v>
      </c>
      <c r="E19" s="129">
        <f t="shared" si="1"/>
        <v>116402.83</v>
      </c>
      <c r="F19" s="129">
        <v>86082.06</v>
      </c>
      <c r="G19" s="129">
        <f>14861.94-5646.87</f>
        <v>9215.07</v>
      </c>
      <c r="H19" s="130">
        <f t="shared" si="0"/>
        <v>21105.700000000004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>
        <v>-0.4</v>
      </c>
      <c r="E20" s="129">
        <f t="shared" si="1"/>
        <v>46629.599999999999</v>
      </c>
      <c r="F20" s="129">
        <v>37714.74</v>
      </c>
      <c r="G20" s="129">
        <f>1143.46-0.4</f>
        <v>1143.06</v>
      </c>
      <c r="H20" s="130">
        <f t="shared" si="0"/>
        <v>7771.8000000000011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>
        <v>-4.45</v>
      </c>
      <c r="E21" s="129">
        <f t="shared" si="1"/>
        <v>50050.55</v>
      </c>
      <c r="F21" s="129">
        <v>50048.23</v>
      </c>
      <c r="G21" s="129">
        <f>6.77-4.45</f>
        <v>2.3199999999999994</v>
      </c>
      <c r="H21" s="130">
        <f t="shared" si="0"/>
        <v>-2.9043434324194095E-13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>
        <v>-0.97</v>
      </c>
      <c r="E22" s="129">
        <f t="shared" si="1"/>
        <v>7284.03</v>
      </c>
      <c r="F22" s="129">
        <v>7283.43</v>
      </c>
      <c r="G22" s="129">
        <f>1.57-0.97</f>
        <v>0.60000000000000009</v>
      </c>
      <c r="H22" s="130">
        <f t="shared" si="0"/>
        <v>-5.4578563890572696E-13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>
        <v>-6682.24</v>
      </c>
      <c r="E23" s="129">
        <f t="shared" si="1"/>
        <v>64767.76</v>
      </c>
      <c r="F23" s="129">
        <v>51117.760000000002</v>
      </c>
      <c r="G23" s="129">
        <f>8482.24-6682.24</f>
        <v>1800</v>
      </c>
      <c r="H23" s="130">
        <f t="shared" si="0"/>
        <v>11850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295883.46999999991</v>
      </c>
      <c r="E24" s="135">
        <f t="shared" si="2"/>
        <v>8198633.4699999988</v>
      </c>
      <c r="F24" s="136">
        <f t="shared" si="2"/>
        <v>6025210.6599999992</v>
      </c>
      <c r="G24" s="137">
        <f>SUM(G10:G23)</f>
        <v>214937.58000000002</v>
      </c>
      <c r="H24" s="138">
        <f t="shared" si="2"/>
        <v>1958485.23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-12778.01</v>
      </c>
      <c r="E25" s="129">
        <f t="shared" ref="E25:E42" si="3">+C25+D25</f>
        <v>32691.989999999998</v>
      </c>
      <c r="F25" s="129">
        <v>22994.2</v>
      </c>
      <c r="G25" s="129">
        <f>13620.3-8452.65</f>
        <v>5167.6499999999996</v>
      </c>
      <c r="H25" s="130">
        <f t="shared" si="0"/>
        <v>4530.1399999999976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-56.85</v>
      </c>
      <c r="E26" s="129">
        <f t="shared" si="3"/>
        <v>1143.1500000000001</v>
      </c>
      <c r="F26" s="129">
        <v>101.3</v>
      </c>
      <c r="G26" s="129">
        <v>600</v>
      </c>
      <c r="H26" s="130">
        <f t="shared" si="0"/>
        <v>441.85000000000014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8608.57</v>
      </c>
      <c r="E27" s="129">
        <f t="shared" si="3"/>
        <v>64198.57</v>
      </c>
      <c r="F27" s="129">
        <v>41172.120000000003</v>
      </c>
      <c r="G27" s="129">
        <f>27815.83-27565.28</f>
        <v>250.55000000000291</v>
      </c>
      <c r="H27" s="130">
        <f t="shared" si="0"/>
        <v>22775.899999999994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4362.79</v>
      </c>
      <c r="E28" s="129">
        <f t="shared" si="3"/>
        <v>31687.79</v>
      </c>
      <c r="F28" s="129">
        <v>24320.39</v>
      </c>
      <c r="G28" s="129">
        <f>9508.3-8340.9</f>
        <v>1167.3999999999996</v>
      </c>
      <c r="H28" s="130">
        <f t="shared" si="0"/>
        <v>6200.0000000000018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501.35</v>
      </c>
      <c r="E29" s="129">
        <f t="shared" si="3"/>
        <v>726.35</v>
      </c>
      <c r="F29" s="129">
        <v>689.9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-3738.27</v>
      </c>
      <c r="E30" s="129">
        <f t="shared" si="3"/>
        <v>21366.73</v>
      </c>
      <c r="F30" s="129">
        <v>13785.46</v>
      </c>
      <c r="G30" s="129">
        <v>5850.5</v>
      </c>
      <c r="H30" s="130">
        <f t="shared" si="0"/>
        <v>1730.7700000000004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-3396.85</v>
      </c>
      <c r="E31" s="129">
        <f t="shared" si="3"/>
        <v>14248.15</v>
      </c>
      <c r="F31" s="129">
        <v>11180.96</v>
      </c>
      <c r="G31" s="129">
        <v>2853</v>
      </c>
      <c r="H31" s="130">
        <f t="shared" si="0"/>
        <v>214.19000000000051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3630.12</v>
      </c>
      <c r="G32" s="129">
        <v>0</v>
      </c>
      <c r="H32" s="130">
        <f t="shared" si="0"/>
        <v>3200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556.1</v>
      </c>
      <c r="G34" s="129">
        <v>216.05</v>
      </c>
      <c r="H34" s="130">
        <f t="shared" si="0"/>
        <v>128.84999999999997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181.66</v>
      </c>
      <c r="E35" s="129">
        <f t="shared" si="3"/>
        <v>2681.66</v>
      </c>
      <c r="F35" s="129">
        <v>1463.25</v>
      </c>
      <c r="G35" s="129">
        <v>593.41</v>
      </c>
      <c r="H35" s="130">
        <f t="shared" si="0"/>
        <v>624.99999999999989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13791.21</v>
      </c>
      <c r="E36" s="129">
        <f t="shared" si="3"/>
        <v>14851.21</v>
      </c>
      <c r="F36" s="129">
        <v>14851.21</v>
      </c>
      <c r="G36" s="129">
        <v>0</v>
      </c>
      <c r="H36" s="130">
        <f t="shared" si="0"/>
        <v>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-676.72</v>
      </c>
      <c r="E37" s="129">
        <f t="shared" si="3"/>
        <v>6598.28</v>
      </c>
      <c r="F37" s="129">
        <v>5951.15</v>
      </c>
      <c r="G37" s="129">
        <v>2.33</v>
      </c>
      <c r="H37" s="130">
        <f t="shared" si="0"/>
        <v>644.80000000000007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7949.82</v>
      </c>
      <c r="E38" s="129">
        <f t="shared" si="3"/>
        <v>12144.82</v>
      </c>
      <c r="F38" s="129">
        <v>10904.68</v>
      </c>
      <c r="G38" s="129">
        <v>19.5</v>
      </c>
      <c r="H38" s="130">
        <f t="shared" si="0"/>
        <v>1220.6399999999994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1248.0999999999999</v>
      </c>
      <c r="E40" s="129">
        <f t="shared" si="3"/>
        <v>3662.1</v>
      </c>
      <c r="F40" s="129">
        <v>843.61</v>
      </c>
      <c r="G40" s="129">
        <v>1423.3</v>
      </c>
      <c r="H40" s="130">
        <f t="shared" si="0"/>
        <v>1395.1899999999998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176.04</v>
      </c>
      <c r="E41" s="129">
        <f t="shared" si="3"/>
        <v>2776.04</v>
      </c>
      <c r="F41" s="129">
        <v>1526.04</v>
      </c>
      <c r="G41" s="129">
        <v>0</v>
      </c>
      <c r="H41" s="130">
        <f t="shared" si="0"/>
        <v>1250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-442681.48</v>
      </c>
      <c r="E42" s="129">
        <f t="shared" si="3"/>
        <v>545243.52</v>
      </c>
      <c r="F42" s="129">
        <v>510493.62</v>
      </c>
      <c r="G42" s="129">
        <f>61227.36-57078.36</f>
        <v>4149</v>
      </c>
      <c r="H42" s="140">
        <f t="shared" si="0"/>
        <v>30600.900000000023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-426902.63999999996</v>
      </c>
      <c r="E43" s="141">
        <f>SUM(E25:E42)</f>
        <v>820201.36</v>
      </c>
      <c r="F43" s="141">
        <f>SUM(F25:F42)</f>
        <v>721694.36</v>
      </c>
      <c r="G43" s="141">
        <f>SUM(G25:G42)</f>
        <v>23248.770000000004</v>
      </c>
      <c r="H43" s="142">
        <f t="shared" si="0"/>
        <v>75258.23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-25576.7</v>
      </c>
      <c r="E48" s="129">
        <f>+C48+D48</f>
        <v>171768.3</v>
      </c>
      <c r="F48" s="129">
        <v>95269.81</v>
      </c>
      <c r="G48" s="129">
        <f>40150.09-26676.4</f>
        <v>13473.689999999995</v>
      </c>
      <c r="H48" s="146">
        <f t="shared" si="0"/>
        <v>63024.799999999996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14746.96</v>
      </c>
      <c r="G49" s="129">
        <v>15349.41</v>
      </c>
      <c r="H49" s="130">
        <f t="shared" si="0"/>
        <v>12412.850000000002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4686.9399999999996</v>
      </c>
      <c r="E50" s="129">
        <f>+C50+D50</f>
        <v>151336.94</v>
      </c>
      <c r="F50" s="129">
        <v>111010.25</v>
      </c>
      <c r="G50" s="129">
        <v>16846.96</v>
      </c>
      <c r="H50" s="140">
        <f t="shared" si="0"/>
        <v>23479.730000000003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-20980.54</v>
      </c>
      <c r="E52" s="134">
        <f>SUM(E48:E51)</f>
        <v>366814.45999999996</v>
      </c>
      <c r="F52" s="134">
        <f>SUM(F48:F51)</f>
        <v>221027.02</v>
      </c>
      <c r="G52" s="134">
        <f>SUM(G48:G51)</f>
        <v>46270.06</v>
      </c>
      <c r="H52" s="148">
        <f t="shared" si="0"/>
        <v>99517.379999999976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-1181.1600000000001</v>
      </c>
      <c r="E53" s="129">
        <f t="shared" ref="E53:E64" si="4">+C53+D53</f>
        <v>31418.84</v>
      </c>
      <c r="F53" s="129">
        <v>22043.599999999999</v>
      </c>
      <c r="G53" s="129">
        <v>7498.25</v>
      </c>
      <c r="H53" s="147">
        <f t="shared" si="0"/>
        <v>1876.9900000000016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272.86</v>
      </c>
      <c r="E54" s="129">
        <f t="shared" si="4"/>
        <v>63272.86</v>
      </c>
      <c r="F54" s="129">
        <v>52152.74</v>
      </c>
      <c r="G54" s="129">
        <v>6095.75</v>
      </c>
      <c r="H54" s="130">
        <f t="shared" si="0"/>
        <v>5024.3700000000026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-30680.65</v>
      </c>
      <c r="E56" s="129">
        <f t="shared" si="4"/>
        <v>13919.349999999999</v>
      </c>
      <c r="F56" s="129">
        <v>295.5</v>
      </c>
      <c r="G56" s="129">
        <v>0</v>
      </c>
      <c r="H56" s="147">
        <f t="shared" si="0"/>
        <v>13623.849999999999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20</v>
      </c>
      <c r="E57" s="129">
        <f t="shared" si="4"/>
        <v>4320</v>
      </c>
      <c r="F57" s="129">
        <v>4320</v>
      </c>
      <c r="G57" s="129">
        <v>0</v>
      </c>
      <c r="H57" s="147">
        <f t="shared" si="0"/>
        <v>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20</v>
      </c>
      <c r="E59" s="129">
        <f t="shared" si="4"/>
        <v>520</v>
      </c>
      <c r="F59" s="129">
        <v>20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-19083.97</v>
      </c>
      <c r="E60" s="129">
        <f t="shared" si="4"/>
        <v>18046.03</v>
      </c>
      <c r="F60" s="129">
        <v>8260.5</v>
      </c>
      <c r="G60" s="129">
        <f>56127.5-53127.5</f>
        <v>3000</v>
      </c>
      <c r="H60" s="147">
        <f t="shared" si="0"/>
        <v>6785.5299999999988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1223.8499999999999</v>
      </c>
      <c r="E61" s="129">
        <f t="shared" si="4"/>
        <v>37033.85</v>
      </c>
      <c r="F61" s="129">
        <v>788.25</v>
      </c>
      <c r="G61" s="129">
        <f>39141.2-34495.6</f>
        <v>4645.5999999999985</v>
      </c>
      <c r="H61" s="147">
        <f t="shared" si="0"/>
        <v>31600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3719.55</v>
      </c>
      <c r="E63" s="129">
        <f t="shared" si="4"/>
        <v>601989.55000000005</v>
      </c>
      <c r="F63" s="129">
        <v>585064.92000000004</v>
      </c>
      <c r="G63" s="129">
        <v>7002.52</v>
      </c>
      <c r="H63" s="147">
        <f t="shared" si="0"/>
        <v>9922.1100000000042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29276</v>
      </c>
      <c r="E64" s="129">
        <f t="shared" si="4"/>
        <v>73736</v>
      </c>
      <c r="F64" s="129">
        <v>61601.08</v>
      </c>
      <c r="G64" s="129">
        <v>1211.8399999999999</v>
      </c>
      <c r="H64" s="147">
        <f t="shared" si="0"/>
        <v>10923.079999999998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-15993.519999999997</v>
      </c>
      <c r="E65" s="134">
        <f>SUM(E53:E64)</f>
        <v>880676.48</v>
      </c>
      <c r="F65" s="134">
        <f>SUM(F53:F64)</f>
        <v>764004.54</v>
      </c>
      <c r="G65" s="134">
        <f>SUM(G53:G64)</f>
        <v>30060.41</v>
      </c>
      <c r="H65" s="148">
        <f t="shared" si="0"/>
        <v>86611.529999999941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-3666</v>
      </c>
      <c r="E66" s="129">
        <f>+C66+D66</f>
        <v>7369</v>
      </c>
      <c r="F66" s="129">
        <v>3632.4</v>
      </c>
      <c r="G66" s="131">
        <f>10000-10000</f>
        <v>0</v>
      </c>
      <c r="H66" s="147">
        <f t="shared" si="0"/>
        <v>3736.6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-271.39</v>
      </c>
      <c r="E67" s="129">
        <f>+C67+D67</f>
        <v>11188.61</v>
      </c>
      <c r="F67" s="129">
        <v>3078</v>
      </c>
      <c r="G67" s="129">
        <f>3832-322.39</f>
        <v>3509.61</v>
      </c>
      <c r="H67" s="147">
        <f t="shared" si="0"/>
        <v>4601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-7765</v>
      </c>
      <c r="E68" s="129">
        <f>+C68+D68</f>
        <v>12235</v>
      </c>
      <c r="F68" s="129">
        <v>2235</v>
      </c>
      <c r="G68" s="129"/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-11702.39</v>
      </c>
      <c r="E69" s="134">
        <f>SUM(E66:E68)</f>
        <v>30792.61</v>
      </c>
      <c r="F69" s="134">
        <f>SUM(F66:F68)</f>
        <v>8945.4</v>
      </c>
      <c r="G69" s="134">
        <f>SUM(G66:G68)</f>
        <v>3509.61</v>
      </c>
      <c r="H69" s="148">
        <f t="shared" si="0"/>
        <v>18337.599999999999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2963.83</v>
      </c>
      <c r="E70" s="129">
        <f>+C70+D70</f>
        <v>9963.83</v>
      </c>
      <c r="F70" s="129">
        <v>2552.38</v>
      </c>
      <c r="G70" s="129">
        <f>10500-7000</f>
        <v>3500</v>
      </c>
      <c r="H70" s="147">
        <f t="shared" si="0"/>
        <v>3911.45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-75980.100000000006</v>
      </c>
      <c r="E71" s="129">
        <f>+C71+D71</f>
        <v>2819.8999999999942</v>
      </c>
      <c r="F71" s="129">
        <v>0</v>
      </c>
      <c r="G71" s="129">
        <f>34125.71-33059.86</f>
        <v>1065.8499999999985</v>
      </c>
      <c r="H71" s="147">
        <f t="shared" si="0"/>
        <v>1754.0499999999956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-73016.27</v>
      </c>
      <c r="E72" s="134">
        <f>SUM(E70:E71)</f>
        <v>12783.729999999994</v>
      </c>
      <c r="F72" s="134">
        <f>SUM(F70:F71)</f>
        <v>2552.38</v>
      </c>
      <c r="G72" s="134">
        <f>SUM(G70:G71)</f>
        <v>4565.8499999999985</v>
      </c>
      <c r="H72" s="147">
        <f t="shared" si="0"/>
        <v>5665.4999999999964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-548595.36</v>
      </c>
      <c r="E73" s="135">
        <f>+E72+E69+E65+E52+E43</f>
        <v>2111268.6399999997</v>
      </c>
      <c r="F73" s="136">
        <f>+F72+F69+F65+F52+F43</f>
        <v>1718223.7000000002</v>
      </c>
      <c r="G73" s="149">
        <f>+G72+G69+G65+G52+G43</f>
        <v>107654.7</v>
      </c>
      <c r="H73" s="150">
        <f t="shared" si="0"/>
        <v>285390.23999999947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-1131.8499999999999</v>
      </c>
      <c r="E74" s="129">
        <f>+C74+D74</f>
        <v>3578.15</v>
      </c>
      <c r="F74" s="129">
        <v>3161.75</v>
      </c>
      <c r="G74" s="129">
        <v>220.77</v>
      </c>
      <c r="H74" s="147">
        <f t="shared" ref="H74:H101" si="5">+E74-F74-G74</f>
        <v>195.63000000000008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-1131.8499999999999</v>
      </c>
      <c r="E75" s="134">
        <f>SUM(E74)</f>
        <v>3578.15</v>
      </c>
      <c r="F75" s="134">
        <f>SUM(F74)</f>
        <v>3161.75</v>
      </c>
      <c r="G75" s="134">
        <f>SUM(G74)</f>
        <v>220.77</v>
      </c>
      <c r="H75" s="147">
        <f t="shared" si="5"/>
        <v>195.63000000000008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1224.9000000000001</v>
      </c>
      <c r="E80" s="135">
        <f>+E79+E75</f>
        <v>79959.899999999994</v>
      </c>
      <c r="F80" s="136">
        <f>+F79+F75</f>
        <v>79543.5</v>
      </c>
      <c r="G80" s="149">
        <f>+G75+G79</f>
        <v>220.77</v>
      </c>
      <c r="H80" s="150">
        <f t="shared" si="5"/>
        <v>195.62999999999417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7588.65</v>
      </c>
      <c r="E92" s="145">
        <f t="shared" ref="E92:E98" si="7">+C92+D92</f>
        <v>10648.65</v>
      </c>
      <c r="F92" s="145">
        <v>9191</v>
      </c>
      <c r="G92" s="158">
        <v>0</v>
      </c>
      <c r="H92" s="146">
        <f t="shared" si="5"/>
        <v>1457.6499999999996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2392.3200000000002</v>
      </c>
      <c r="E93" s="129">
        <f t="shared" si="7"/>
        <v>9152.32</v>
      </c>
      <c r="F93" s="129">
        <v>9099.0499999999993</v>
      </c>
      <c r="G93" s="132">
        <v>0</v>
      </c>
      <c r="H93" s="147">
        <f t="shared" si="5"/>
        <v>53.270000000000437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-500</v>
      </c>
      <c r="E94" s="129">
        <f t="shared" si="7"/>
        <v>0</v>
      </c>
      <c r="F94" s="129">
        <v>0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92693.43</v>
      </c>
      <c r="E95" s="129">
        <f t="shared" si="7"/>
        <v>108693.43</v>
      </c>
      <c r="F95" s="129">
        <v>18081.54</v>
      </c>
      <c r="G95" s="132">
        <v>0</v>
      </c>
      <c r="H95" s="147">
        <f t="shared" si="5"/>
        <v>90611.889999999985</v>
      </c>
      <c r="I95" s="39"/>
    </row>
    <row r="96" spans="1:9" s="40" customFormat="1" ht="12.75" customHeight="1" x14ac:dyDescent="0.2">
      <c r="A96" s="27">
        <v>61105</v>
      </c>
      <c r="B96" s="41" t="s">
        <v>90</v>
      </c>
      <c r="C96" s="132"/>
      <c r="D96" s="132">
        <v>118000</v>
      </c>
      <c r="E96" s="129">
        <f t="shared" si="7"/>
        <v>118000</v>
      </c>
      <c r="F96" s="129">
        <v>0</v>
      </c>
      <c r="G96" s="132">
        <v>0</v>
      </c>
      <c r="H96" s="147">
        <f t="shared" si="5"/>
        <v>118000</v>
      </c>
      <c r="I96" s="39"/>
    </row>
    <row r="97" spans="1:10" s="31" customFormat="1" ht="12.75" customHeight="1" x14ac:dyDescent="0.25">
      <c r="A97" s="11">
        <v>61108</v>
      </c>
      <c r="B97" s="12" t="s">
        <v>40</v>
      </c>
      <c r="C97" s="131">
        <v>1000</v>
      </c>
      <c r="D97" s="131">
        <v>-1000</v>
      </c>
      <c r="E97" s="129">
        <f t="shared" si="7"/>
        <v>0</v>
      </c>
      <c r="F97" s="129">
        <v>0</v>
      </c>
      <c r="G97" s="131">
        <v>0</v>
      </c>
      <c r="H97" s="147">
        <f t="shared" si="5"/>
        <v>0</v>
      </c>
      <c r="I97" s="30"/>
    </row>
    <row r="98" spans="1:10" s="31" customFormat="1" ht="12.75" customHeight="1" x14ac:dyDescent="0.25">
      <c r="A98" s="11">
        <v>61199</v>
      </c>
      <c r="B98" s="12" t="s">
        <v>82</v>
      </c>
      <c r="C98" s="131">
        <v>0</v>
      </c>
      <c r="D98" s="131">
        <v>674.55</v>
      </c>
      <c r="E98" s="129">
        <f t="shared" si="7"/>
        <v>674.55</v>
      </c>
      <c r="F98" s="129">
        <v>674.55</v>
      </c>
      <c r="G98" s="131">
        <v>0</v>
      </c>
      <c r="H98" s="147">
        <v>0</v>
      </c>
      <c r="I98" s="30"/>
    </row>
    <row r="99" spans="1:10" s="31" customFormat="1" ht="12.75" customHeight="1" x14ac:dyDescent="0.25">
      <c r="A99" s="27"/>
      <c r="B99" s="14" t="s">
        <v>43</v>
      </c>
      <c r="C99" s="134">
        <f t="shared" ref="C99:H99" si="8">SUM(C92:C98)</f>
        <v>27320</v>
      </c>
      <c r="D99" s="134">
        <f>SUM(D92:D98)</f>
        <v>219848.94999999998</v>
      </c>
      <c r="E99" s="134">
        <f t="shared" si="8"/>
        <v>247168.94999999998</v>
      </c>
      <c r="F99" s="134">
        <f t="shared" si="8"/>
        <v>37046.14</v>
      </c>
      <c r="G99" s="134">
        <f t="shared" si="8"/>
        <v>0</v>
      </c>
      <c r="H99" s="148">
        <f t="shared" si="8"/>
        <v>210122.81</v>
      </c>
      <c r="I99" s="30"/>
    </row>
    <row r="100" spans="1:10" s="31" customFormat="1" ht="12.75" customHeight="1" x14ac:dyDescent="0.25">
      <c r="A100" s="11">
        <v>61403</v>
      </c>
      <c r="B100" s="12" t="s">
        <v>77</v>
      </c>
      <c r="C100" s="131">
        <v>9235</v>
      </c>
      <c r="D100" s="131">
        <v>31638.04</v>
      </c>
      <c r="E100" s="129">
        <f>+C100+D100</f>
        <v>40873.040000000001</v>
      </c>
      <c r="F100" s="131">
        <v>40093.599999999999</v>
      </c>
      <c r="G100" s="131">
        <v>0</v>
      </c>
      <c r="H100" s="147">
        <f t="shared" si="5"/>
        <v>779.44000000000233</v>
      </c>
      <c r="I100" s="30"/>
    </row>
    <row r="101" spans="1:10" s="31" customFormat="1" ht="12.75" customHeight="1" thickBot="1" x14ac:dyDescent="0.3">
      <c r="A101" s="42"/>
      <c r="B101" s="43" t="s">
        <v>43</v>
      </c>
      <c r="C101" s="159">
        <f>+C100</f>
        <v>9235</v>
      </c>
      <c r="D101" s="159">
        <f>+D100</f>
        <v>31638.04</v>
      </c>
      <c r="E101" s="160">
        <f>+E100</f>
        <v>40873.040000000001</v>
      </c>
      <c r="F101" s="160">
        <f>+F100</f>
        <v>40093.599999999999</v>
      </c>
      <c r="G101" s="160">
        <f>SUM(G100)</f>
        <v>0</v>
      </c>
      <c r="H101" s="161">
        <f t="shared" si="5"/>
        <v>779.44000000000233</v>
      </c>
      <c r="I101" s="30"/>
    </row>
    <row r="102" spans="1:10" s="31" customFormat="1" ht="12.75" customHeight="1" thickBot="1" x14ac:dyDescent="0.3">
      <c r="A102" s="44"/>
      <c r="B102" s="45" t="s">
        <v>24</v>
      </c>
      <c r="C102" s="162">
        <f>+C99+C101</f>
        <v>36555</v>
      </c>
      <c r="D102" s="162">
        <f>+D101+D99</f>
        <v>251486.99</v>
      </c>
      <c r="E102" s="163">
        <f>+E101+E99</f>
        <v>288041.99</v>
      </c>
      <c r="F102" s="164">
        <f>+F101+F99</f>
        <v>77139.739999999991</v>
      </c>
      <c r="G102" s="165">
        <f>SUM(G101+G99)</f>
        <v>0</v>
      </c>
      <c r="H102" s="166">
        <f>+H101+H99</f>
        <v>210902.25</v>
      </c>
      <c r="I102" s="30"/>
    </row>
    <row r="103" spans="1:10" ht="12.75" customHeight="1" x14ac:dyDescent="0.25">
      <c r="A103" s="46"/>
      <c r="B103" s="47" t="s">
        <v>78</v>
      </c>
      <c r="C103" s="167">
        <f>+C102+C86+C80+C73+C24</f>
        <v>10687404</v>
      </c>
      <c r="D103" s="168">
        <f>+D102+D86+D80+D73+D24</f>
        <v>0</v>
      </c>
      <c r="E103" s="169">
        <f>+E24+E73+E80+E102+E86</f>
        <v>10687404</v>
      </c>
      <c r="F103" s="170">
        <f>+F24+F73+F80+F102+F86</f>
        <v>7907355.1699999999</v>
      </c>
      <c r="G103" s="171">
        <f>+G24+G73+G80+G86+G102</f>
        <v>323075.48000000004</v>
      </c>
      <c r="H103" s="172">
        <f>+E103-F103-G103</f>
        <v>2456973.35</v>
      </c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  <c r="J104" s="16"/>
    </row>
    <row r="105" spans="1:10" ht="12.75" customHeight="1" x14ac:dyDescent="0.25">
      <c r="C105" s="48"/>
      <c r="D105" s="48"/>
      <c r="E105" s="48"/>
      <c r="F105" s="48"/>
      <c r="G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182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187"/>
      <c r="I107" s="29"/>
    </row>
    <row r="108" spans="1:10" ht="12.75" customHeight="1" x14ac:dyDescent="0.25">
      <c r="C108" s="48"/>
      <c r="D108" s="48"/>
      <c r="E108" s="48"/>
      <c r="F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H110" s="29"/>
      <c r="I110" s="29"/>
    </row>
    <row r="111" spans="1:10" ht="12.75" customHeight="1" x14ac:dyDescent="0.25">
      <c r="C111" s="48"/>
      <c r="D111" s="48"/>
      <c r="E111" s="48"/>
      <c r="F111" s="48"/>
      <c r="G111" s="48"/>
      <c r="J111" s="29"/>
    </row>
    <row r="112" spans="1:10" ht="12.75" customHeight="1" x14ac:dyDescent="0.25">
      <c r="C112" s="48"/>
      <c r="D112" s="48"/>
      <c r="E112" s="48"/>
      <c r="F112" s="48"/>
      <c r="G112" s="48"/>
    </row>
    <row r="113" spans="3:8" ht="12.75" customHeight="1" x14ac:dyDescent="0.25">
      <c r="C113" s="49"/>
      <c r="D113" s="49"/>
      <c r="E113" s="49"/>
      <c r="F113" s="49"/>
      <c r="G113" s="49"/>
      <c r="H113" s="49"/>
    </row>
    <row r="114" spans="3:8" ht="12.75" customHeight="1" x14ac:dyDescent="0.25">
      <c r="C114" s="50"/>
      <c r="D114" s="50"/>
      <c r="E114" s="50"/>
      <c r="F114" s="50"/>
      <c r="G114" s="50"/>
      <c r="H114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K95" sqref="K9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0" max="10" width="12.2851562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89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89"/>
      <c r="H4" s="2"/>
      <c r="I4" s="1"/>
    </row>
    <row r="5" spans="1:9" ht="12.75" customHeight="1" x14ac:dyDescent="0.25">
      <c r="A5" s="2"/>
      <c r="B5" s="189"/>
      <c r="C5" s="189"/>
      <c r="D5" s="189"/>
      <c r="E5" s="189"/>
      <c r="F5" s="189"/>
      <c r="G5" s="189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88"/>
      <c r="B7" s="190" t="s">
        <v>91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-97063.17</v>
      </c>
      <c r="E10" s="129">
        <f>+C10+D10</f>
        <v>4781516.83</v>
      </c>
      <c r="F10" s="129">
        <v>4290695.12</v>
      </c>
      <c r="G10" s="129">
        <f>120086.54-27588.17</f>
        <v>92498.37</v>
      </c>
      <c r="H10" s="130">
        <f t="shared" ref="H10:H73" si="0">+E10-F10-G10</f>
        <v>398323.33999999997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-3193.62</v>
      </c>
      <c r="E11" s="129">
        <f t="shared" ref="E11:E23" si="1">+C11+D11</f>
        <v>176576.38</v>
      </c>
      <c r="F11" s="129"/>
      <c r="G11" s="129">
        <v>0</v>
      </c>
      <c r="H11" s="130">
        <f t="shared" si="0"/>
        <v>176576.38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-9950</v>
      </c>
      <c r="E12" s="129">
        <f t="shared" si="1"/>
        <v>499000</v>
      </c>
      <c r="F12" s="129">
        <v>113350</v>
      </c>
      <c r="G12" s="129">
        <f>2900-1750</f>
        <v>1150</v>
      </c>
      <c r="H12" s="130">
        <f t="shared" si="0"/>
        <v>384500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344787.97</v>
      </c>
      <c r="E13" s="129">
        <f t="shared" si="1"/>
        <v>1520142.97</v>
      </c>
      <c r="F13" s="129">
        <v>1318281.22</v>
      </c>
      <c r="G13" s="129">
        <f>120323.91-54628.07</f>
        <v>65695.839999999997</v>
      </c>
      <c r="H13" s="130">
        <f t="shared" si="0"/>
        <v>136165.91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13687.8</v>
      </c>
      <c r="E14" s="129">
        <f t="shared" si="1"/>
        <v>50197.8</v>
      </c>
      <c r="F14" s="129"/>
      <c r="G14" s="129">
        <v>0</v>
      </c>
      <c r="H14" s="130">
        <f t="shared" si="0"/>
        <v>50197.8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38100</v>
      </c>
      <c r="E15" s="129">
        <f t="shared" si="1"/>
        <v>142100</v>
      </c>
      <c r="F15" s="129">
        <v>28400</v>
      </c>
      <c r="G15" s="129">
        <v>3700</v>
      </c>
      <c r="H15" s="130">
        <f t="shared" si="0"/>
        <v>110000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-11417.04</v>
      </c>
      <c r="E16" s="129">
        <f t="shared" si="1"/>
        <v>311527.96000000002</v>
      </c>
      <c r="F16" s="129">
        <v>256238.66</v>
      </c>
      <c r="G16" s="129">
        <f>36430.45-7571.2</f>
        <v>28859.249999999996</v>
      </c>
      <c r="H16" s="130">
        <f t="shared" si="0"/>
        <v>26430.050000000021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18321.349999999999</v>
      </c>
      <c r="E17" s="129">
        <f t="shared" si="1"/>
        <v>84731.35</v>
      </c>
      <c r="F17" s="129">
        <v>71706.98</v>
      </c>
      <c r="G17" s="129">
        <f>8876.28-3502.36</f>
        <v>5373.92</v>
      </c>
      <c r="H17" s="130">
        <f t="shared" si="0"/>
        <v>7650.4500000000098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-16009.59</v>
      </c>
      <c r="E18" s="129">
        <f t="shared" si="1"/>
        <v>347705.41</v>
      </c>
      <c r="F18" s="129">
        <v>280852.87</v>
      </c>
      <c r="G18" s="129">
        <f>47805.83-10625.27</f>
        <v>37180.559999999998</v>
      </c>
      <c r="H18" s="130">
        <f t="shared" si="0"/>
        <v>29671.979999999981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25307.83</v>
      </c>
      <c r="E19" s="129">
        <f t="shared" si="1"/>
        <v>116402.83</v>
      </c>
      <c r="F19" s="129">
        <v>95606.39</v>
      </c>
      <c r="G19" s="129">
        <f>15890.96-5646.87</f>
        <v>10244.09</v>
      </c>
      <c r="H19" s="130">
        <f t="shared" si="0"/>
        <v>10552.350000000002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>
        <v>-0.4</v>
      </c>
      <c r="E20" s="129">
        <f t="shared" si="1"/>
        <v>46629.599999999999</v>
      </c>
      <c r="F20" s="129">
        <v>41029.07</v>
      </c>
      <c r="G20" s="129">
        <f>1714.93-0.4</f>
        <v>1714.53</v>
      </c>
      <c r="H20" s="130">
        <f t="shared" si="0"/>
        <v>3885.9999999999991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>
        <v>-4.45</v>
      </c>
      <c r="E21" s="129">
        <f t="shared" si="1"/>
        <v>50050.55</v>
      </c>
      <c r="F21" s="129">
        <v>50048.23</v>
      </c>
      <c r="G21" s="129">
        <f>6.77-4.45</f>
        <v>2.3199999999999994</v>
      </c>
      <c r="H21" s="130">
        <f t="shared" si="0"/>
        <v>-2.9043434324194095E-13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>
        <v>-0.97</v>
      </c>
      <c r="E22" s="129">
        <f t="shared" si="1"/>
        <v>7284.03</v>
      </c>
      <c r="F22" s="129">
        <v>7283.43</v>
      </c>
      <c r="G22" s="129">
        <f>1.57-0.97</f>
        <v>0.60000000000000009</v>
      </c>
      <c r="H22" s="130">
        <f t="shared" si="0"/>
        <v>-5.4578563890572696E-13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>
        <v>-6682.24</v>
      </c>
      <c r="E23" s="129">
        <f t="shared" si="1"/>
        <v>64767.76</v>
      </c>
      <c r="F23" s="129">
        <v>52362.76</v>
      </c>
      <c r="G23" s="129">
        <f>8537.24-6682.24</f>
        <v>1855</v>
      </c>
      <c r="H23" s="130">
        <f t="shared" si="0"/>
        <v>10550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295883.46999999997</v>
      </c>
      <c r="E24" s="135">
        <f t="shared" si="2"/>
        <v>8198633.4699999988</v>
      </c>
      <c r="F24" s="136">
        <f t="shared" si="2"/>
        <v>6605854.7300000004</v>
      </c>
      <c r="G24" s="137">
        <f>SUM(G10:G23)</f>
        <v>248274.48</v>
      </c>
      <c r="H24" s="138">
        <f t="shared" si="2"/>
        <v>1344504.26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-12748.01</v>
      </c>
      <c r="E25" s="129">
        <f t="shared" ref="E25:E42" si="3">+C25+D25</f>
        <v>32721.989999999998</v>
      </c>
      <c r="F25" s="129">
        <v>23073.55</v>
      </c>
      <c r="G25" s="129">
        <f>13620.3-8452.65</f>
        <v>5167.6499999999996</v>
      </c>
      <c r="H25" s="130">
        <f t="shared" si="0"/>
        <v>4480.7899999999991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-56.85</v>
      </c>
      <c r="E26" s="129">
        <f t="shared" si="3"/>
        <v>1143.1500000000001</v>
      </c>
      <c r="F26" s="129">
        <v>490.06</v>
      </c>
      <c r="G26" s="129">
        <v>600</v>
      </c>
      <c r="H26" s="130">
        <f t="shared" si="0"/>
        <v>53.090000000000146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9166</v>
      </c>
      <c r="E27" s="129">
        <f t="shared" si="3"/>
        <v>64756</v>
      </c>
      <c r="F27" s="129">
        <v>42515.37</v>
      </c>
      <c r="G27" s="129">
        <f>27815.83-27565.28</f>
        <v>250.55000000000291</v>
      </c>
      <c r="H27" s="130">
        <f t="shared" si="0"/>
        <v>21990.079999999994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4687.79</v>
      </c>
      <c r="E28" s="129">
        <f t="shared" si="3"/>
        <v>32012.79</v>
      </c>
      <c r="F28" s="129">
        <v>26084.14</v>
      </c>
      <c r="G28" s="129">
        <f>9508.3-8340.9</f>
        <v>1167.3999999999996</v>
      </c>
      <c r="H28" s="130">
        <f t="shared" si="0"/>
        <v>4761.2500000000018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525.4</v>
      </c>
      <c r="E29" s="129">
        <f t="shared" si="3"/>
        <v>750.4</v>
      </c>
      <c r="F29" s="129">
        <v>713.95</v>
      </c>
      <c r="G29" s="129">
        <f>72.9-36.45</f>
        <v>36.450000000000003</v>
      </c>
      <c r="H29" s="130">
        <f t="shared" si="0"/>
        <v>-7.1054273576010019E-14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-4028.67</v>
      </c>
      <c r="E30" s="129">
        <f t="shared" si="3"/>
        <v>21076.33</v>
      </c>
      <c r="F30" s="129">
        <v>14297.36</v>
      </c>
      <c r="G30" s="129">
        <v>5850.5</v>
      </c>
      <c r="H30" s="130">
        <f t="shared" si="0"/>
        <v>928.47000000000116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-2611.0300000000002</v>
      </c>
      <c r="E31" s="129">
        <f t="shared" si="3"/>
        <v>15033.97</v>
      </c>
      <c r="F31" s="129">
        <v>12180.96</v>
      </c>
      <c r="G31" s="129">
        <v>2853</v>
      </c>
      <c r="H31" s="130">
        <f t="shared" si="0"/>
        <v>1.0000000000218279E-2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4165.6400000000003</v>
      </c>
      <c r="G32" s="129">
        <v>0</v>
      </c>
      <c r="H32" s="130">
        <f t="shared" si="0"/>
        <v>2664.4799999999996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-24.67</v>
      </c>
      <c r="E33" s="129">
        <f t="shared" si="3"/>
        <v>57685.33</v>
      </c>
      <c r="F33" s="129">
        <v>57265.7</v>
      </c>
      <c r="G33" s="129">
        <f>671.88-252.25</f>
        <v>419.63</v>
      </c>
      <c r="H33" s="130">
        <f t="shared" si="0"/>
        <v>4.6611603465862572E-12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287.39999999999998</v>
      </c>
      <c r="E34" s="129">
        <f t="shared" si="3"/>
        <v>1212.4000000000001</v>
      </c>
      <c r="F34" s="129">
        <v>996.35</v>
      </c>
      <c r="G34" s="129">
        <v>216.05</v>
      </c>
      <c r="H34" s="130">
        <f t="shared" si="0"/>
        <v>0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718.36</v>
      </c>
      <c r="E35" s="129">
        <f t="shared" si="3"/>
        <v>3218.36</v>
      </c>
      <c r="F35" s="129">
        <v>2294.96</v>
      </c>
      <c r="G35" s="129">
        <v>593.41</v>
      </c>
      <c r="H35" s="130">
        <f t="shared" si="0"/>
        <v>329.99000000000012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13791.21</v>
      </c>
      <c r="E36" s="129">
        <f t="shared" si="3"/>
        <v>14851.21</v>
      </c>
      <c r="F36" s="129">
        <v>14851.21</v>
      </c>
      <c r="G36" s="129">
        <v>0</v>
      </c>
      <c r="H36" s="130">
        <f t="shared" si="0"/>
        <v>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-569.44000000000005</v>
      </c>
      <c r="E37" s="129">
        <f t="shared" si="3"/>
        <v>6705.5599999999995</v>
      </c>
      <c r="F37" s="129">
        <v>6058.43</v>
      </c>
      <c r="G37" s="129">
        <v>2.33</v>
      </c>
      <c r="H37" s="130">
        <f t="shared" si="0"/>
        <v>644.79999999999916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7949.82</v>
      </c>
      <c r="E38" s="129">
        <f t="shared" si="3"/>
        <v>12144.82</v>
      </c>
      <c r="F38" s="129">
        <v>10904.68</v>
      </c>
      <c r="G38" s="129">
        <v>19.5</v>
      </c>
      <c r="H38" s="130">
        <f t="shared" si="0"/>
        <v>1220.6399999999994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1248.0999999999999</v>
      </c>
      <c r="E40" s="129">
        <f t="shared" si="3"/>
        <v>3662.1</v>
      </c>
      <c r="F40" s="129">
        <v>1576.51</v>
      </c>
      <c r="G40" s="129">
        <v>1423.3</v>
      </c>
      <c r="H40" s="130">
        <f t="shared" si="0"/>
        <v>662.29000000000019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110.54</v>
      </c>
      <c r="E41" s="129">
        <f t="shared" si="3"/>
        <v>2710.54</v>
      </c>
      <c r="F41" s="129">
        <v>1790.94</v>
      </c>
      <c r="G41" s="129">
        <v>0</v>
      </c>
      <c r="H41" s="130">
        <f t="shared" si="0"/>
        <v>919.59999999999991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-458307.28</v>
      </c>
      <c r="E42" s="129">
        <f t="shared" si="3"/>
        <v>529617.72</v>
      </c>
      <c r="F42" s="129">
        <v>510571.35</v>
      </c>
      <c r="G42" s="129">
        <f>61227.36-57078.36</f>
        <v>4149</v>
      </c>
      <c r="H42" s="140">
        <f t="shared" si="0"/>
        <v>14897.369999999995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-440171.21</v>
      </c>
      <c r="E43" s="141">
        <f>SUM(E25:E42)</f>
        <v>806932.7899999998</v>
      </c>
      <c r="F43" s="141">
        <f>SUM(F25:F42)</f>
        <v>729831.15999999992</v>
      </c>
      <c r="G43" s="141">
        <f>SUM(G25:G42)</f>
        <v>23248.770000000004</v>
      </c>
      <c r="H43" s="142">
        <f t="shared" si="0"/>
        <v>53852.859999999884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-25576.7</v>
      </c>
      <c r="E48" s="129">
        <f>+C48+D48</f>
        <v>171768.3</v>
      </c>
      <c r="F48" s="129">
        <v>105928.44</v>
      </c>
      <c r="G48" s="129">
        <f>40150.09-26676.4</f>
        <v>13473.689999999995</v>
      </c>
      <c r="H48" s="146">
        <f t="shared" si="0"/>
        <v>52366.169999999991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16066.44</v>
      </c>
      <c r="G49" s="129">
        <v>15349.41</v>
      </c>
      <c r="H49" s="130">
        <f t="shared" si="0"/>
        <v>11093.369999999999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4686.9399999999996</v>
      </c>
      <c r="E50" s="129">
        <f>+C50+D50</f>
        <v>151336.94</v>
      </c>
      <c r="F50" s="129">
        <v>115731.15</v>
      </c>
      <c r="G50" s="129">
        <v>16846.96</v>
      </c>
      <c r="H50" s="140">
        <f t="shared" si="0"/>
        <v>18758.830000000009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-20980.54</v>
      </c>
      <c r="E52" s="134">
        <f>SUM(E48:E51)</f>
        <v>366814.45999999996</v>
      </c>
      <c r="F52" s="134">
        <f>SUM(F48:F51)</f>
        <v>237726.03</v>
      </c>
      <c r="G52" s="134">
        <f>SUM(G48:G51)</f>
        <v>46270.06</v>
      </c>
      <c r="H52" s="148">
        <f t="shared" si="0"/>
        <v>82818.369999999966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-1181.1600000000001</v>
      </c>
      <c r="E53" s="129">
        <f t="shared" ref="E53:E64" si="4">+C53+D53</f>
        <v>31418.84</v>
      </c>
      <c r="F53" s="129">
        <v>22108.6</v>
      </c>
      <c r="G53" s="129">
        <v>7498.25</v>
      </c>
      <c r="H53" s="147">
        <f t="shared" si="0"/>
        <v>1811.9900000000016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277.86</v>
      </c>
      <c r="E54" s="129">
        <f t="shared" si="4"/>
        <v>63277.86</v>
      </c>
      <c r="F54" s="129">
        <v>51940.26</v>
      </c>
      <c r="G54" s="129">
        <v>6095.75</v>
      </c>
      <c r="H54" s="130">
        <f t="shared" si="0"/>
        <v>5241.8499999999985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-3845.19</v>
      </c>
      <c r="E55" s="129">
        <f t="shared" si="4"/>
        <v>654.80999999999995</v>
      </c>
      <c r="F55" s="129">
        <v>0</v>
      </c>
      <c r="G55" s="129">
        <v>0</v>
      </c>
      <c r="H55" s="147">
        <f t="shared" si="0"/>
        <v>654.80999999999995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-32392.65</v>
      </c>
      <c r="E56" s="129">
        <f t="shared" si="4"/>
        <v>12207.349999999999</v>
      </c>
      <c r="F56" s="129">
        <v>736.2</v>
      </c>
      <c r="G56" s="129">
        <v>0</v>
      </c>
      <c r="H56" s="147">
        <f t="shared" si="0"/>
        <v>11471.149999999998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20</v>
      </c>
      <c r="E57" s="129">
        <f t="shared" si="4"/>
        <v>4320</v>
      </c>
      <c r="F57" s="129">
        <v>4320</v>
      </c>
      <c r="G57" s="129">
        <v>0</v>
      </c>
      <c r="H57" s="147">
        <f t="shared" si="0"/>
        <v>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-252.6</v>
      </c>
      <c r="E59" s="129">
        <f t="shared" si="4"/>
        <v>247.4</v>
      </c>
      <c r="F59" s="129">
        <v>68</v>
      </c>
      <c r="G59" s="129"/>
      <c r="H59" s="147">
        <f t="shared" si="0"/>
        <v>179.4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-18723.97</v>
      </c>
      <c r="E60" s="129">
        <f t="shared" si="4"/>
        <v>18406.03</v>
      </c>
      <c r="F60" s="129">
        <v>8620.5</v>
      </c>
      <c r="G60" s="129">
        <f>56127.5-53127.5</f>
        <v>3000</v>
      </c>
      <c r="H60" s="147">
        <f t="shared" si="0"/>
        <v>6785.5299999999988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-2005.96</v>
      </c>
      <c r="E61" s="129">
        <f t="shared" si="4"/>
        <v>33804.04</v>
      </c>
      <c r="F61" s="129">
        <v>19362.240000000002</v>
      </c>
      <c r="G61" s="129">
        <f>39141.2-34495.6</f>
        <v>4645.5999999999985</v>
      </c>
      <c r="H61" s="147">
        <f t="shared" si="0"/>
        <v>9796.2000000000007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1655.35</v>
      </c>
      <c r="E63" s="129">
        <f t="shared" si="4"/>
        <v>599925.35</v>
      </c>
      <c r="F63" s="129">
        <v>585064.92000000004</v>
      </c>
      <c r="G63" s="129">
        <v>7002.52</v>
      </c>
      <c r="H63" s="147">
        <f t="shared" si="0"/>
        <v>7857.9099999999344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53690.62</v>
      </c>
      <c r="E64" s="129">
        <f t="shared" si="4"/>
        <v>98150.62</v>
      </c>
      <c r="F64" s="129">
        <v>88077.2</v>
      </c>
      <c r="G64" s="129">
        <v>1211.8399999999999</v>
      </c>
      <c r="H64" s="147">
        <f t="shared" si="0"/>
        <v>8861.5799999999981</v>
      </c>
    </row>
    <row r="65" spans="1:11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-2337.6999999999971</v>
      </c>
      <c r="E65" s="134">
        <f>SUM(E53:E64)</f>
        <v>894332.29999999993</v>
      </c>
      <c r="F65" s="134">
        <f>SUM(F53:F64)</f>
        <v>809755.87</v>
      </c>
      <c r="G65" s="134">
        <f>SUM(G53:G64)</f>
        <v>30060.41</v>
      </c>
      <c r="H65" s="148">
        <f t="shared" si="0"/>
        <v>54516.019999999931</v>
      </c>
    </row>
    <row r="66" spans="1:11" ht="12.75" customHeight="1" x14ac:dyDescent="0.25">
      <c r="A66" s="11">
        <v>54402</v>
      </c>
      <c r="B66" s="12" t="s">
        <v>61</v>
      </c>
      <c r="C66" s="131">
        <v>11035</v>
      </c>
      <c r="D66" s="131">
        <v>-5808.25</v>
      </c>
      <c r="E66" s="129">
        <f>+C66+D66</f>
        <v>5226.75</v>
      </c>
      <c r="F66" s="129">
        <v>3632.4</v>
      </c>
      <c r="G66" s="131">
        <f>10000-10000</f>
        <v>0</v>
      </c>
      <c r="H66" s="147">
        <f t="shared" si="0"/>
        <v>1594.35</v>
      </c>
    </row>
    <row r="67" spans="1:11" ht="12.75" customHeight="1" x14ac:dyDescent="0.25">
      <c r="A67" s="11">
        <v>54403</v>
      </c>
      <c r="B67" s="12" t="s">
        <v>62</v>
      </c>
      <c r="C67" s="131">
        <v>11460</v>
      </c>
      <c r="D67" s="131">
        <v>-271.39</v>
      </c>
      <c r="E67" s="129">
        <f>+C67+D67</f>
        <v>11188.61</v>
      </c>
      <c r="F67" s="129">
        <v>3294</v>
      </c>
      <c r="G67" s="129">
        <f>3832-322.39</f>
        <v>3509.61</v>
      </c>
      <c r="H67" s="147">
        <f t="shared" si="0"/>
        <v>4385</v>
      </c>
    </row>
    <row r="68" spans="1:11" ht="12.75" customHeight="1" x14ac:dyDescent="0.25">
      <c r="A68" s="11">
        <v>54404</v>
      </c>
      <c r="B68" s="12" t="s">
        <v>63</v>
      </c>
      <c r="C68" s="131">
        <v>20000</v>
      </c>
      <c r="D68" s="131">
        <v>-7765</v>
      </c>
      <c r="E68" s="129">
        <f>+C68+D68</f>
        <v>12235</v>
      </c>
      <c r="F68" s="129">
        <v>2235</v>
      </c>
      <c r="G68" s="129"/>
      <c r="H68" s="147">
        <f t="shared" si="0"/>
        <v>10000</v>
      </c>
    </row>
    <row r="69" spans="1:11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-13844.64</v>
      </c>
      <c r="E69" s="134">
        <f>SUM(E66:E68)</f>
        <v>28650.36</v>
      </c>
      <c r="F69" s="134">
        <f>SUM(F66:F68)</f>
        <v>9161.4</v>
      </c>
      <c r="G69" s="134">
        <f>SUM(G66:G68)</f>
        <v>3509.61</v>
      </c>
      <c r="H69" s="148">
        <f t="shared" si="0"/>
        <v>15979.349999999999</v>
      </c>
    </row>
    <row r="70" spans="1:11" ht="12.75" customHeight="1" x14ac:dyDescent="0.25">
      <c r="A70" s="11">
        <v>54505</v>
      </c>
      <c r="B70" s="12" t="s">
        <v>64</v>
      </c>
      <c r="C70" s="131">
        <v>7000</v>
      </c>
      <c r="D70" s="131">
        <v>4718.83</v>
      </c>
      <c r="E70" s="129">
        <f>+C70+D70</f>
        <v>11718.83</v>
      </c>
      <c r="F70" s="129">
        <v>2552.38</v>
      </c>
      <c r="G70" s="129">
        <f>10500-7000</f>
        <v>3500</v>
      </c>
      <c r="H70" s="147">
        <f t="shared" si="0"/>
        <v>5666.4500000000007</v>
      </c>
    </row>
    <row r="71" spans="1:11" ht="12.75" customHeight="1" x14ac:dyDescent="0.25">
      <c r="A71" s="11">
        <v>54599</v>
      </c>
      <c r="B71" s="12" t="s">
        <v>65</v>
      </c>
      <c r="C71" s="131">
        <v>78800</v>
      </c>
      <c r="D71" s="131">
        <v>-75980.100000000006</v>
      </c>
      <c r="E71" s="129">
        <f>+C71+D71</f>
        <v>2819.8999999999942</v>
      </c>
      <c r="F71" s="129">
        <v>0</v>
      </c>
      <c r="G71" s="129">
        <f>34125.71-33059.86</f>
        <v>1065.8499999999985</v>
      </c>
      <c r="H71" s="147">
        <f t="shared" si="0"/>
        <v>1754.0499999999956</v>
      </c>
    </row>
    <row r="72" spans="1:11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-71261.27</v>
      </c>
      <c r="E72" s="134">
        <f>SUM(E70:E71)</f>
        <v>14538.729999999994</v>
      </c>
      <c r="F72" s="134">
        <f>SUM(F70:F71)</f>
        <v>2552.38</v>
      </c>
      <c r="G72" s="134">
        <f>SUM(G70:G71)</f>
        <v>4565.8499999999985</v>
      </c>
      <c r="H72" s="147">
        <f t="shared" si="0"/>
        <v>7420.4999999999964</v>
      </c>
    </row>
    <row r="73" spans="1:11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-548595.36</v>
      </c>
      <c r="E73" s="135">
        <f>+E72+E69+E65+E52+E43</f>
        <v>2111268.6399999997</v>
      </c>
      <c r="F73" s="136">
        <f>+F72+F69+F65+F52+F43</f>
        <v>1789026.8399999999</v>
      </c>
      <c r="G73" s="149">
        <f>+G72+G69+G65+G52+G43</f>
        <v>107654.7</v>
      </c>
      <c r="H73" s="150">
        <f t="shared" si="0"/>
        <v>214587.0999999998</v>
      </c>
      <c r="J73" s="179"/>
      <c r="K73" s="182"/>
    </row>
    <row r="74" spans="1:11" ht="12.75" customHeight="1" x14ac:dyDescent="0.25">
      <c r="A74" s="11">
        <v>55599</v>
      </c>
      <c r="B74" s="12" t="s">
        <v>66</v>
      </c>
      <c r="C74" s="131">
        <v>4710</v>
      </c>
      <c r="D74" s="131">
        <v>-1131.8499999999999</v>
      </c>
      <c r="E74" s="129">
        <f>+C74+D74</f>
        <v>3578.15</v>
      </c>
      <c r="F74" s="129">
        <v>3357.38</v>
      </c>
      <c r="G74" s="129">
        <v>220.77</v>
      </c>
      <c r="H74" s="147">
        <f t="shared" ref="H74:H101" si="5">+E74-F74-G74</f>
        <v>0</v>
      </c>
    </row>
    <row r="75" spans="1:11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-1131.8499999999999</v>
      </c>
      <c r="E75" s="134">
        <f>SUM(E74)</f>
        <v>3578.15</v>
      </c>
      <c r="F75" s="134">
        <f>SUM(F74)</f>
        <v>3357.38</v>
      </c>
      <c r="G75" s="134">
        <f>SUM(G74)</f>
        <v>220.77</v>
      </c>
      <c r="H75" s="147">
        <f t="shared" si="5"/>
        <v>0</v>
      </c>
    </row>
    <row r="76" spans="1:11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1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1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1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1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1224.9000000000001</v>
      </c>
      <c r="E80" s="135">
        <f>+E79+E75</f>
        <v>79959.899999999994</v>
      </c>
      <c r="F80" s="136">
        <f>+F79+F75</f>
        <v>79739.13</v>
      </c>
      <c r="G80" s="149">
        <f>+G75+G79</f>
        <v>220.77</v>
      </c>
      <c r="H80" s="150">
        <f t="shared" si="5"/>
        <v>-1.0487610779819079E-11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8651</v>
      </c>
      <c r="E92" s="145">
        <f t="shared" ref="E92:E98" si="7">+C92+D92</f>
        <v>11711</v>
      </c>
      <c r="F92" s="145">
        <v>11711</v>
      </c>
      <c r="G92" s="158">
        <v>0</v>
      </c>
      <c r="H92" s="146">
        <f t="shared" si="5"/>
        <v>0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9247.11</v>
      </c>
      <c r="E93" s="129">
        <f t="shared" si="7"/>
        <v>16007.11</v>
      </c>
      <c r="F93" s="129">
        <v>9708.15</v>
      </c>
      <c r="G93" s="132">
        <v>0</v>
      </c>
      <c r="H93" s="147">
        <f t="shared" si="5"/>
        <v>6298.9600000000009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-500</v>
      </c>
      <c r="E94" s="129">
        <f t="shared" si="7"/>
        <v>0</v>
      </c>
      <c r="F94" s="129">
        <v>0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91828.43</v>
      </c>
      <c r="E95" s="129">
        <f t="shared" si="7"/>
        <v>107828.43</v>
      </c>
      <c r="F95" s="129">
        <v>18081.54</v>
      </c>
      <c r="G95" s="132">
        <v>0</v>
      </c>
      <c r="H95" s="147">
        <f t="shared" si="5"/>
        <v>89746.889999999985</v>
      </c>
      <c r="I95" s="39"/>
    </row>
    <row r="96" spans="1:9" s="40" customFormat="1" ht="12.75" customHeight="1" x14ac:dyDescent="0.2">
      <c r="A96" s="27">
        <v>61105</v>
      </c>
      <c r="B96" s="41" t="s">
        <v>90</v>
      </c>
      <c r="C96" s="132"/>
      <c r="D96" s="132">
        <v>111701.04</v>
      </c>
      <c r="E96" s="129">
        <f t="shared" si="7"/>
        <v>111701.04</v>
      </c>
      <c r="F96" s="129">
        <v>111556</v>
      </c>
      <c r="G96" s="132">
        <v>0</v>
      </c>
      <c r="H96" s="147">
        <f t="shared" si="5"/>
        <v>145.0399999999936</v>
      </c>
      <c r="I96" s="39"/>
    </row>
    <row r="97" spans="1:11" s="31" customFormat="1" ht="12.75" customHeight="1" x14ac:dyDescent="0.25">
      <c r="A97" s="11">
        <v>61108</v>
      </c>
      <c r="B97" s="12" t="s">
        <v>40</v>
      </c>
      <c r="C97" s="131">
        <v>1000</v>
      </c>
      <c r="D97" s="131">
        <v>-1000</v>
      </c>
      <c r="E97" s="129">
        <f t="shared" si="7"/>
        <v>0</v>
      </c>
      <c r="F97" s="129">
        <v>0</v>
      </c>
      <c r="G97" s="131">
        <v>0</v>
      </c>
      <c r="H97" s="147">
        <f t="shared" si="5"/>
        <v>0</v>
      </c>
      <c r="I97" s="30"/>
    </row>
    <row r="98" spans="1:11" s="31" customFormat="1" ht="12.75" customHeight="1" x14ac:dyDescent="0.25">
      <c r="A98" s="11">
        <v>61199</v>
      </c>
      <c r="B98" s="12" t="s">
        <v>82</v>
      </c>
      <c r="C98" s="131">
        <v>0</v>
      </c>
      <c r="D98" s="131">
        <v>674.55</v>
      </c>
      <c r="E98" s="129">
        <f t="shared" si="7"/>
        <v>674.55</v>
      </c>
      <c r="F98" s="129">
        <v>674.55</v>
      </c>
      <c r="G98" s="131">
        <v>0</v>
      </c>
      <c r="H98" s="147">
        <v>0</v>
      </c>
      <c r="I98" s="30"/>
    </row>
    <row r="99" spans="1:11" s="31" customFormat="1" ht="12.75" customHeight="1" x14ac:dyDescent="0.25">
      <c r="A99" s="27"/>
      <c r="B99" s="14" t="s">
        <v>43</v>
      </c>
      <c r="C99" s="134">
        <f t="shared" ref="C99:H99" si="8">SUM(C92:C98)</f>
        <v>27320</v>
      </c>
      <c r="D99" s="134">
        <f>SUM(D92:D98)</f>
        <v>220602.12999999998</v>
      </c>
      <c r="E99" s="134">
        <f t="shared" si="8"/>
        <v>247922.12999999995</v>
      </c>
      <c r="F99" s="134">
        <f t="shared" si="8"/>
        <v>151731.24</v>
      </c>
      <c r="G99" s="134">
        <f t="shared" si="8"/>
        <v>0</v>
      </c>
      <c r="H99" s="148">
        <f t="shared" si="8"/>
        <v>96190.889999999985</v>
      </c>
      <c r="I99" s="30"/>
    </row>
    <row r="100" spans="1:11" s="31" customFormat="1" ht="12.75" customHeight="1" x14ac:dyDescent="0.25">
      <c r="A100" s="11">
        <v>61403</v>
      </c>
      <c r="B100" s="12" t="s">
        <v>77</v>
      </c>
      <c r="C100" s="131">
        <v>9235</v>
      </c>
      <c r="D100" s="131">
        <v>30884.86</v>
      </c>
      <c r="E100" s="129">
        <f>+C100+D100</f>
        <v>40119.86</v>
      </c>
      <c r="F100" s="131">
        <v>40093.599999999999</v>
      </c>
      <c r="G100" s="131">
        <v>0</v>
      </c>
      <c r="H100" s="147">
        <f t="shared" si="5"/>
        <v>26.260000000002037</v>
      </c>
      <c r="I100" s="30"/>
    </row>
    <row r="101" spans="1:11" s="31" customFormat="1" ht="12.75" customHeight="1" thickBot="1" x14ac:dyDescent="0.3">
      <c r="A101" s="42"/>
      <c r="B101" s="43" t="s">
        <v>43</v>
      </c>
      <c r="C101" s="159">
        <f>+C100</f>
        <v>9235</v>
      </c>
      <c r="D101" s="159">
        <f>+D100</f>
        <v>30884.86</v>
      </c>
      <c r="E101" s="160">
        <f>+E100</f>
        <v>40119.86</v>
      </c>
      <c r="F101" s="160">
        <f>+F100</f>
        <v>40093.599999999999</v>
      </c>
      <c r="G101" s="160">
        <f>SUM(G100)</f>
        <v>0</v>
      </c>
      <c r="H101" s="161">
        <f t="shared" si="5"/>
        <v>26.260000000002037</v>
      </c>
      <c r="I101" s="30"/>
    </row>
    <row r="102" spans="1:11" s="31" customFormat="1" ht="12.75" customHeight="1" thickBot="1" x14ac:dyDescent="0.3">
      <c r="A102" s="44"/>
      <c r="B102" s="45" t="s">
        <v>24</v>
      </c>
      <c r="C102" s="162">
        <f>+C99+C101</f>
        <v>36555</v>
      </c>
      <c r="D102" s="162">
        <f>+D101+D99</f>
        <v>251486.99</v>
      </c>
      <c r="E102" s="163">
        <f>+E101+E99</f>
        <v>288041.98999999993</v>
      </c>
      <c r="F102" s="164">
        <f>+F101+F99</f>
        <v>191824.84</v>
      </c>
      <c r="G102" s="165">
        <f>SUM(G101+G99)</f>
        <v>0</v>
      </c>
      <c r="H102" s="166">
        <f>+H101+H99</f>
        <v>96217.15</v>
      </c>
      <c r="I102" s="30"/>
    </row>
    <row r="103" spans="1:11" ht="12.75" customHeight="1" x14ac:dyDescent="0.25">
      <c r="A103" s="46"/>
      <c r="B103" s="47" t="s">
        <v>78</v>
      </c>
      <c r="C103" s="167">
        <f>+C102+C86+C80+C73+C24</f>
        <v>10687404</v>
      </c>
      <c r="D103" s="168">
        <f>+D102+D86+D80+D73+D24</f>
        <v>0</v>
      </c>
      <c r="E103" s="169">
        <f>+E24+E73+E80+E102+E86</f>
        <v>10687404</v>
      </c>
      <c r="F103" s="170">
        <f>+F24+F73+F80+F102+F86</f>
        <v>8673683.1100000013</v>
      </c>
      <c r="G103" s="171">
        <f>+G24+G73+G80+G86+G102</f>
        <v>356412.38</v>
      </c>
      <c r="H103" s="172">
        <f>+E103-F103-G103</f>
        <v>1657308.5099999988</v>
      </c>
      <c r="I103" s="29"/>
      <c r="J103" s="16"/>
      <c r="K103" s="16"/>
    </row>
    <row r="104" spans="1:11" ht="12.75" customHeight="1" x14ac:dyDescent="0.25">
      <c r="C104" s="48"/>
      <c r="D104" s="48"/>
      <c r="E104" s="48"/>
      <c r="F104" s="48"/>
      <c r="G104" s="48"/>
      <c r="H104" s="29"/>
      <c r="I104" s="29"/>
      <c r="J104" s="16"/>
    </row>
    <row r="105" spans="1:11" ht="12.75" customHeight="1" x14ac:dyDescent="0.25">
      <c r="C105" s="48"/>
      <c r="D105" s="48"/>
      <c r="E105" s="48"/>
      <c r="F105" s="48"/>
      <c r="G105" s="48"/>
      <c r="H105" s="29"/>
      <c r="I105" s="29"/>
    </row>
    <row r="106" spans="1:11" ht="12.75" customHeight="1" x14ac:dyDescent="0.25">
      <c r="C106" s="48"/>
      <c r="D106" s="48"/>
      <c r="E106" s="48"/>
      <c r="F106" s="48"/>
      <c r="G106" s="182"/>
      <c r="H106" s="29"/>
      <c r="I106" s="29"/>
    </row>
    <row r="107" spans="1:11" ht="12.75" customHeight="1" x14ac:dyDescent="0.25">
      <c r="C107" s="48"/>
      <c r="D107" s="48"/>
      <c r="E107" s="48"/>
      <c r="F107" s="48"/>
      <c r="H107" s="187"/>
      <c r="I107" s="29"/>
    </row>
    <row r="108" spans="1:11" ht="12.75" customHeight="1" x14ac:dyDescent="0.25">
      <c r="C108" s="48"/>
      <c r="D108" s="48"/>
      <c r="E108" s="48"/>
      <c r="F108" s="48"/>
      <c r="H108" s="29"/>
      <c r="I108" s="29"/>
    </row>
    <row r="109" spans="1:11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1" ht="12.75" customHeight="1" x14ac:dyDescent="0.25">
      <c r="C110" s="48"/>
      <c r="D110" s="48"/>
      <c r="E110" s="48"/>
      <c r="F110" s="48"/>
      <c r="G110" s="48"/>
      <c r="H110" s="29"/>
      <c r="I110" s="29"/>
    </row>
    <row r="111" spans="1:11" ht="12.75" customHeight="1" x14ac:dyDescent="0.25">
      <c r="C111" s="48"/>
      <c r="D111" s="48"/>
      <c r="E111" s="48"/>
      <c r="F111" s="48"/>
      <c r="G111" s="48"/>
      <c r="J111" s="29"/>
    </row>
    <row r="112" spans="1:11" ht="12.75" customHeight="1" x14ac:dyDescent="0.25">
      <c r="C112" s="48"/>
      <c r="D112" s="48"/>
      <c r="E112" s="48"/>
      <c r="F112" s="48"/>
      <c r="G112" s="48"/>
    </row>
    <row r="113" spans="3:8" ht="12.75" customHeight="1" x14ac:dyDescent="0.25">
      <c r="C113" s="49"/>
      <c r="D113" s="49"/>
      <c r="E113" s="49"/>
      <c r="F113" s="49"/>
      <c r="G113" s="49"/>
      <c r="H113" s="49"/>
    </row>
    <row r="114" spans="3:8" ht="12.75" customHeight="1" x14ac:dyDescent="0.25">
      <c r="C114" s="50"/>
      <c r="D114" s="50"/>
      <c r="E114" s="50"/>
      <c r="F114" s="50"/>
      <c r="G114" s="50"/>
      <c r="H114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opLeftCell="A67" workbookViewId="0">
      <selection activeCell="K90" sqref="K89:K90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1" spans="1:9" ht="15" customHeight="1" x14ac:dyDescent="0.25"/>
    <row r="2" spans="1:9" ht="1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5" customHeight="1" x14ac:dyDescent="0.25">
      <c r="A3" s="1"/>
      <c r="B3" s="191" t="s">
        <v>1</v>
      </c>
      <c r="C3" s="191"/>
      <c r="D3" s="191"/>
      <c r="E3" s="191"/>
      <c r="F3" s="191"/>
      <c r="G3" s="54"/>
      <c r="H3" s="1"/>
      <c r="I3" s="1"/>
    </row>
    <row r="4" spans="1:9" ht="15" customHeight="1" x14ac:dyDescent="0.25">
      <c r="A4" s="2"/>
      <c r="B4" s="191" t="s">
        <v>2</v>
      </c>
      <c r="C4" s="191"/>
      <c r="D4" s="191"/>
      <c r="E4" s="191"/>
      <c r="F4" s="191"/>
      <c r="G4" s="54"/>
      <c r="H4" s="2"/>
      <c r="I4" s="1"/>
    </row>
    <row r="5" spans="1:9" ht="15" customHeight="1" x14ac:dyDescent="0.25">
      <c r="A5" s="2"/>
      <c r="B5" s="54"/>
      <c r="C5" s="54"/>
      <c r="D5" s="54"/>
      <c r="E5" s="54"/>
      <c r="F5" s="54"/>
      <c r="G5" s="54"/>
      <c r="H5" s="2"/>
      <c r="I5" s="1"/>
    </row>
    <row r="6" spans="1:9" ht="1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5" customHeight="1" x14ac:dyDescent="0.25">
      <c r="A7" s="53"/>
      <c r="B7" s="190" t="s">
        <v>80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66">
        <v>4878580</v>
      </c>
      <c r="D10" s="66">
        <v>-61600</v>
      </c>
      <c r="E10" s="66">
        <f>+C10+D10</f>
        <v>4816980</v>
      </c>
      <c r="F10" s="66">
        <v>780382.27</v>
      </c>
      <c r="G10" s="66">
        <v>27114.33</v>
      </c>
      <c r="H10" s="67">
        <f t="shared" ref="H10:H73" si="0">+E10-F10-G10</f>
        <v>4009483.4</v>
      </c>
    </row>
    <row r="11" spans="1:9" ht="12.75" customHeight="1" x14ac:dyDescent="0.25">
      <c r="A11" s="11">
        <v>51103</v>
      </c>
      <c r="B11" s="12" t="s">
        <v>14</v>
      </c>
      <c r="C11" s="69">
        <v>179770</v>
      </c>
      <c r="D11" s="66">
        <v>-1825.04</v>
      </c>
      <c r="E11" s="66">
        <f t="shared" ref="E11:E23" si="1">+C11+D11</f>
        <v>177944.95999999999</v>
      </c>
      <c r="F11" s="66"/>
      <c r="G11" s="66">
        <v>0</v>
      </c>
      <c r="H11" s="67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69">
        <v>508950</v>
      </c>
      <c r="D12" s="69">
        <v>-5200</v>
      </c>
      <c r="E12" s="66">
        <f t="shared" si="1"/>
        <v>503750</v>
      </c>
      <c r="F12" s="66"/>
      <c r="G12" s="66">
        <v>0</v>
      </c>
      <c r="H12" s="67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69">
        <v>1175355</v>
      </c>
      <c r="D13" s="70">
        <v>391541.04</v>
      </c>
      <c r="E13" s="66">
        <f t="shared" si="1"/>
        <v>1566896.04</v>
      </c>
      <c r="F13" s="66">
        <v>204065.64</v>
      </c>
      <c r="G13" s="66">
        <v>27421.46</v>
      </c>
      <c r="H13" s="67">
        <f t="shared" si="0"/>
        <v>1335408.94</v>
      </c>
    </row>
    <row r="14" spans="1:9" ht="12.75" customHeight="1" x14ac:dyDescent="0.25">
      <c r="A14" s="11">
        <v>51203</v>
      </c>
      <c r="B14" s="12" t="s">
        <v>14</v>
      </c>
      <c r="C14" s="69">
        <v>36510</v>
      </c>
      <c r="D14" s="69">
        <v>12319.02</v>
      </c>
      <c r="E14" s="66">
        <f t="shared" si="1"/>
        <v>48829.020000000004</v>
      </c>
      <c r="F14" s="66"/>
      <c r="G14" s="66">
        <v>0</v>
      </c>
      <c r="H14" s="67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69">
        <v>104000</v>
      </c>
      <c r="D15" s="69">
        <v>35100</v>
      </c>
      <c r="E15" s="66">
        <f t="shared" si="1"/>
        <v>139100</v>
      </c>
      <c r="F15" s="66"/>
      <c r="G15" s="66">
        <v>0</v>
      </c>
      <c r="H15" s="67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69">
        <v>322945</v>
      </c>
      <c r="D16" s="69">
        <v>-3300</v>
      </c>
      <c r="E16" s="66">
        <f t="shared" si="1"/>
        <v>319645</v>
      </c>
      <c r="F16" s="66">
        <v>46390.400000000001</v>
      </c>
      <c r="G16" s="66">
        <v>7133.72</v>
      </c>
      <c r="H16" s="67">
        <f t="shared" si="0"/>
        <v>266120.88</v>
      </c>
    </row>
    <row r="17" spans="1:11" ht="12.75" customHeight="1" x14ac:dyDescent="0.25">
      <c r="A17" s="11">
        <v>51402</v>
      </c>
      <c r="B17" s="12" t="s">
        <v>18</v>
      </c>
      <c r="C17" s="69">
        <v>66410</v>
      </c>
      <c r="D17" s="69">
        <v>21278.07</v>
      </c>
      <c r="E17" s="66">
        <f t="shared" si="1"/>
        <v>87688.07</v>
      </c>
      <c r="F17" s="66">
        <v>11225.76</v>
      </c>
      <c r="G17" s="66">
        <v>1776.97</v>
      </c>
      <c r="H17" s="67">
        <f t="shared" si="0"/>
        <v>74685.340000000011</v>
      </c>
    </row>
    <row r="18" spans="1:11" ht="12.75" customHeight="1" x14ac:dyDescent="0.25">
      <c r="A18" s="11">
        <v>51501</v>
      </c>
      <c r="B18" s="12" t="s">
        <v>19</v>
      </c>
      <c r="C18" s="69">
        <v>363715</v>
      </c>
      <c r="D18" s="69">
        <v>-4774</v>
      </c>
      <c r="E18" s="66">
        <f t="shared" si="1"/>
        <v>358941</v>
      </c>
      <c r="F18" s="66">
        <v>51486.43</v>
      </c>
      <c r="G18" s="66">
        <v>8698.7900000000009</v>
      </c>
      <c r="H18" s="67">
        <f t="shared" si="0"/>
        <v>298755.78000000003</v>
      </c>
    </row>
    <row r="19" spans="1:11" ht="12.75" customHeight="1" x14ac:dyDescent="0.25">
      <c r="A19" s="11">
        <v>51502</v>
      </c>
      <c r="B19" s="12" t="s">
        <v>20</v>
      </c>
      <c r="C19" s="69">
        <v>91095</v>
      </c>
      <c r="D19" s="69">
        <v>30344.38</v>
      </c>
      <c r="E19" s="66">
        <f t="shared" si="1"/>
        <v>121439.38</v>
      </c>
      <c r="F19" s="66">
        <v>14760.07</v>
      </c>
      <c r="G19" s="66">
        <v>3181.21</v>
      </c>
      <c r="H19" s="67">
        <f t="shared" si="0"/>
        <v>103498.09999999999</v>
      </c>
    </row>
    <row r="20" spans="1:11" ht="12.75" customHeight="1" x14ac:dyDescent="0.25">
      <c r="A20" s="11">
        <v>51601</v>
      </c>
      <c r="B20" s="12" t="s">
        <v>21</v>
      </c>
      <c r="C20" s="69">
        <v>46630</v>
      </c>
      <c r="D20" s="69"/>
      <c r="E20" s="66">
        <f t="shared" si="1"/>
        <v>46630</v>
      </c>
      <c r="F20" s="66">
        <v>7771.52</v>
      </c>
      <c r="G20" s="66">
        <v>0.28000000000000003</v>
      </c>
      <c r="H20" s="67">
        <f t="shared" si="0"/>
        <v>38858.199999999997</v>
      </c>
    </row>
    <row r="21" spans="1:11" ht="12.75" customHeight="1" x14ac:dyDescent="0.25">
      <c r="A21" s="11">
        <v>51701</v>
      </c>
      <c r="B21" s="12" t="s">
        <v>22</v>
      </c>
      <c r="C21" s="69">
        <v>50055</v>
      </c>
      <c r="D21" s="69"/>
      <c r="E21" s="66">
        <f t="shared" si="1"/>
        <v>50055</v>
      </c>
      <c r="F21" s="66">
        <v>50048.23</v>
      </c>
      <c r="G21" s="66">
        <v>6.77</v>
      </c>
      <c r="H21" s="67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69">
        <v>7285</v>
      </c>
      <c r="D22" s="69"/>
      <c r="E22" s="66">
        <f t="shared" si="1"/>
        <v>7285</v>
      </c>
      <c r="F22" s="66">
        <v>3556.03</v>
      </c>
      <c r="G22" s="66">
        <v>0.97</v>
      </c>
      <c r="H22" s="67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69">
        <v>71450</v>
      </c>
      <c r="D23" s="69"/>
      <c r="E23" s="66">
        <f t="shared" si="1"/>
        <v>71450</v>
      </c>
      <c r="F23" s="66">
        <v>0</v>
      </c>
      <c r="G23" s="66">
        <v>0</v>
      </c>
      <c r="H23" s="67">
        <f t="shared" si="0"/>
        <v>71450</v>
      </c>
    </row>
    <row r="24" spans="1:11" ht="12.75" customHeight="1" x14ac:dyDescent="0.25">
      <c r="A24" s="13"/>
      <c r="B24" s="14" t="s">
        <v>24</v>
      </c>
      <c r="C24" s="71">
        <f t="shared" ref="C24:H24" si="2">SUM(C10:C23)</f>
        <v>7902750</v>
      </c>
      <c r="D24" s="72">
        <f t="shared" si="2"/>
        <v>413883.47000000003</v>
      </c>
      <c r="E24" s="119">
        <f t="shared" si="2"/>
        <v>8316633.4699999997</v>
      </c>
      <c r="F24" s="120">
        <f t="shared" si="2"/>
        <v>1169686.3500000001</v>
      </c>
      <c r="G24" s="75">
        <f t="shared" si="2"/>
        <v>75334.500000000015</v>
      </c>
      <c r="H24" s="76">
        <f t="shared" si="2"/>
        <v>7071612.6199999982</v>
      </c>
    </row>
    <row r="25" spans="1:11" ht="12.75" customHeight="1" x14ac:dyDescent="0.25">
      <c r="A25" s="11">
        <v>54101</v>
      </c>
      <c r="B25" s="12" t="s">
        <v>25</v>
      </c>
      <c r="C25" s="69">
        <v>45470</v>
      </c>
      <c r="D25" s="69">
        <v>1081.25</v>
      </c>
      <c r="E25" s="66">
        <f t="shared" ref="E25:E42" si="3">+C25+D25</f>
        <v>46551.25</v>
      </c>
      <c r="F25" s="66">
        <v>25930.75</v>
      </c>
      <c r="G25" s="66">
        <v>0</v>
      </c>
      <c r="H25" s="67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69">
        <v>1200</v>
      </c>
      <c r="D26" s="69">
        <v>-63.8</v>
      </c>
      <c r="E26" s="66">
        <f t="shared" si="3"/>
        <v>1136.2</v>
      </c>
      <c r="F26" s="66">
        <v>0</v>
      </c>
      <c r="G26" s="66">
        <v>0</v>
      </c>
      <c r="H26" s="67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69">
        <v>55590</v>
      </c>
      <c r="D27" s="69">
        <v>273</v>
      </c>
      <c r="E27" s="66">
        <f t="shared" si="3"/>
        <v>55863</v>
      </c>
      <c r="F27" s="66">
        <v>0</v>
      </c>
      <c r="G27" s="66">
        <v>0</v>
      </c>
      <c r="H27" s="67">
        <f t="shared" si="0"/>
        <v>55863</v>
      </c>
    </row>
    <row r="28" spans="1:11" ht="12.75" customHeight="1" x14ac:dyDescent="0.25">
      <c r="A28" s="11">
        <v>54105</v>
      </c>
      <c r="B28" s="12" t="s">
        <v>28</v>
      </c>
      <c r="C28" s="69">
        <v>27325</v>
      </c>
      <c r="D28" s="69">
        <v>3953.3</v>
      </c>
      <c r="E28" s="66">
        <f t="shared" si="3"/>
        <v>31278.3</v>
      </c>
      <c r="F28" s="66">
        <v>1306.2</v>
      </c>
      <c r="G28" s="66">
        <v>0</v>
      </c>
      <c r="H28" s="67">
        <f t="shared" si="0"/>
        <v>29972.1</v>
      </c>
      <c r="K28" s="15"/>
    </row>
    <row r="29" spans="1:11" ht="12.75" customHeight="1" x14ac:dyDescent="0.25">
      <c r="A29" s="11">
        <v>54106</v>
      </c>
      <c r="B29" s="12" t="s">
        <v>29</v>
      </c>
      <c r="C29" s="69">
        <v>225</v>
      </c>
      <c r="D29" s="69">
        <v>-31</v>
      </c>
      <c r="E29" s="66">
        <f t="shared" si="3"/>
        <v>194</v>
      </c>
      <c r="F29" s="66">
        <v>0</v>
      </c>
      <c r="G29" s="66">
        <v>0</v>
      </c>
      <c r="H29" s="67">
        <f t="shared" si="0"/>
        <v>194</v>
      </c>
    </row>
    <row r="30" spans="1:11" ht="12.75" customHeight="1" x14ac:dyDescent="0.25">
      <c r="A30" s="11">
        <v>54107</v>
      </c>
      <c r="B30" s="12" t="s">
        <v>30</v>
      </c>
      <c r="C30" s="69">
        <v>25105</v>
      </c>
      <c r="D30" s="69">
        <v>-2956.1</v>
      </c>
      <c r="E30" s="66">
        <f t="shared" si="3"/>
        <v>22148.9</v>
      </c>
      <c r="F30" s="66">
        <v>20.5</v>
      </c>
      <c r="G30" s="66">
        <v>0</v>
      </c>
      <c r="H30" s="67">
        <f t="shared" si="0"/>
        <v>22128.400000000001</v>
      </c>
    </row>
    <row r="31" spans="1:11" ht="12.75" customHeight="1" x14ac:dyDescent="0.25">
      <c r="A31" s="11">
        <v>54108</v>
      </c>
      <c r="B31" s="12" t="s">
        <v>31</v>
      </c>
      <c r="C31" s="69">
        <v>17645</v>
      </c>
      <c r="D31" s="69"/>
      <c r="E31" s="66">
        <f t="shared" si="3"/>
        <v>17645</v>
      </c>
      <c r="F31" s="66">
        <v>0</v>
      </c>
      <c r="G31" s="66">
        <v>0</v>
      </c>
      <c r="H31" s="67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69">
        <v>7140</v>
      </c>
      <c r="D32" s="69"/>
      <c r="E32" s="66">
        <f t="shared" si="3"/>
        <v>7140</v>
      </c>
      <c r="F32" s="66">
        <v>844.96</v>
      </c>
      <c r="G32" s="66">
        <v>0</v>
      </c>
      <c r="H32" s="67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69">
        <v>57710</v>
      </c>
      <c r="D33" s="69"/>
      <c r="E33" s="66">
        <f t="shared" si="3"/>
        <v>57710</v>
      </c>
      <c r="F33" s="66">
        <v>57205.5</v>
      </c>
      <c r="G33" s="66">
        <v>0</v>
      </c>
      <c r="H33" s="67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69">
        <v>925</v>
      </c>
      <c r="D34" s="69">
        <v>-24</v>
      </c>
      <c r="E34" s="66">
        <f t="shared" si="3"/>
        <v>901</v>
      </c>
      <c r="F34" s="66">
        <v>0</v>
      </c>
      <c r="G34" s="66">
        <v>0</v>
      </c>
      <c r="H34" s="67">
        <f t="shared" si="0"/>
        <v>901</v>
      </c>
      <c r="L34" s="16"/>
    </row>
    <row r="35" spans="1:12" ht="12.75" customHeight="1" x14ac:dyDescent="0.25">
      <c r="A35" s="11">
        <v>54112</v>
      </c>
      <c r="B35" s="12" t="s">
        <v>35</v>
      </c>
      <c r="C35" s="69">
        <v>2500</v>
      </c>
      <c r="D35" s="69"/>
      <c r="E35" s="66">
        <f t="shared" si="3"/>
        <v>2500</v>
      </c>
      <c r="F35" s="66">
        <v>0</v>
      </c>
      <c r="G35" s="66">
        <v>0</v>
      </c>
      <c r="H35" s="67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69">
        <v>1060</v>
      </c>
      <c r="D36" s="69">
        <v>36</v>
      </c>
      <c r="E36" s="66">
        <f t="shared" si="3"/>
        <v>1096</v>
      </c>
      <c r="F36" s="66">
        <v>36</v>
      </c>
      <c r="G36" s="66">
        <v>0</v>
      </c>
      <c r="H36" s="67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69">
        <v>7275</v>
      </c>
      <c r="D37" s="69">
        <v>55.5</v>
      </c>
      <c r="E37" s="66">
        <f t="shared" si="3"/>
        <v>7330.5</v>
      </c>
      <c r="F37" s="66">
        <v>55.5</v>
      </c>
      <c r="G37" s="66">
        <v>0</v>
      </c>
      <c r="H37" s="67">
        <f t="shared" si="0"/>
        <v>7275</v>
      </c>
    </row>
    <row r="38" spans="1:12" ht="12.75" customHeight="1" x14ac:dyDescent="0.25">
      <c r="A38" s="11">
        <v>54115</v>
      </c>
      <c r="B38" s="12" t="s">
        <v>38</v>
      </c>
      <c r="C38" s="69">
        <v>4195</v>
      </c>
      <c r="D38" s="69"/>
      <c r="E38" s="66">
        <f t="shared" si="3"/>
        <v>4195</v>
      </c>
      <c r="F38" s="66">
        <v>0</v>
      </c>
      <c r="G38" s="66">
        <v>0</v>
      </c>
      <c r="H38" s="67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69">
        <v>800</v>
      </c>
      <c r="D39" s="69"/>
      <c r="E39" s="66">
        <f t="shared" si="3"/>
        <v>800</v>
      </c>
      <c r="F39" s="66">
        <v>90</v>
      </c>
      <c r="G39" s="66">
        <v>0</v>
      </c>
      <c r="H39" s="67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69">
        <v>2414</v>
      </c>
      <c r="D40" s="69"/>
      <c r="E40" s="66">
        <f t="shared" si="3"/>
        <v>2414</v>
      </c>
      <c r="F40" s="66">
        <v>0</v>
      </c>
      <c r="G40" s="66">
        <v>0</v>
      </c>
      <c r="H40" s="67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69">
        <v>2600</v>
      </c>
      <c r="D41" s="69">
        <v>-236.82</v>
      </c>
      <c r="E41" s="66">
        <f t="shared" si="3"/>
        <v>2363.1799999999998</v>
      </c>
      <c r="F41" s="66">
        <v>12.18</v>
      </c>
      <c r="G41" s="66">
        <v>0</v>
      </c>
      <c r="H41" s="67">
        <f t="shared" si="0"/>
        <v>2351</v>
      </c>
    </row>
    <row r="42" spans="1:12" ht="12.75" customHeight="1" thickBot="1" x14ac:dyDescent="0.3">
      <c r="A42" s="17">
        <v>54199</v>
      </c>
      <c r="B42" s="18" t="s">
        <v>42</v>
      </c>
      <c r="C42" s="79">
        <v>987925</v>
      </c>
      <c r="D42" s="79">
        <v>-414264.7</v>
      </c>
      <c r="E42" s="66">
        <f t="shared" si="3"/>
        <v>573660.30000000005</v>
      </c>
      <c r="F42" s="66">
        <v>437400</v>
      </c>
      <c r="G42" s="66">
        <v>0</v>
      </c>
      <c r="H42" s="80">
        <f t="shared" si="0"/>
        <v>136260.30000000005</v>
      </c>
    </row>
    <row r="43" spans="1:12" ht="12.75" customHeight="1" thickBot="1" x14ac:dyDescent="0.3">
      <c r="A43" s="19"/>
      <c r="B43" s="20" t="s">
        <v>43</v>
      </c>
      <c r="C43" s="81">
        <f>SUM(C25:C42)</f>
        <v>1247104</v>
      </c>
      <c r="D43" s="81">
        <f>SUM(D25:D42)</f>
        <v>-412177.37</v>
      </c>
      <c r="E43" s="81">
        <f>SUM(E25:E42)</f>
        <v>834926.63</v>
      </c>
      <c r="F43" s="81">
        <f>SUM(F25:F42)</f>
        <v>522901.58999999997</v>
      </c>
      <c r="G43" s="81">
        <f>SUM(G25:G42)</f>
        <v>0</v>
      </c>
      <c r="H43" s="82">
        <f t="shared" si="0"/>
        <v>312025.04000000004</v>
      </c>
    </row>
    <row r="44" spans="1:12" ht="12.75" customHeight="1" x14ac:dyDescent="0.25">
      <c r="A44" s="21"/>
      <c r="B44" s="22"/>
      <c r="C44" s="83"/>
      <c r="D44" s="83"/>
      <c r="E44" s="83"/>
      <c r="F44" s="83"/>
      <c r="G44" s="83"/>
      <c r="H44" s="84"/>
    </row>
    <row r="45" spans="1:12" ht="12.75" customHeight="1" x14ac:dyDescent="0.25">
      <c r="A45" s="21"/>
      <c r="B45" s="22"/>
      <c r="C45" s="83"/>
      <c r="D45" s="83"/>
      <c r="E45" s="83"/>
      <c r="F45" s="83"/>
      <c r="G45" s="83"/>
      <c r="H45" s="84"/>
    </row>
    <row r="46" spans="1:12" ht="12.75" customHeight="1" thickBot="1" x14ac:dyDescent="0.3">
      <c r="A46" s="21"/>
      <c r="B46" s="22"/>
      <c r="C46" s="83"/>
      <c r="D46" s="83"/>
      <c r="E46" s="83"/>
      <c r="F46" s="83"/>
      <c r="G46" s="83"/>
      <c r="H46" s="8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85">
        <v>197345</v>
      </c>
      <c r="D48" s="85">
        <v>-1325</v>
      </c>
      <c r="E48" s="66">
        <f t="shared" ref="E48:E51" si="4">+C48+D48</f>
        <v>196020</v>
      </c>
      <c r="F48" s="66">
        <v>23995.94</v>
      </c>
      <c r="G48" s="66">
        <v>0</v>
      </c>
      <c r="H48" s="86">
        <f t="shared" si="0"/>
        <v>172024.06</v>
      </c>
    </row>
    <row r="49" spans="1:8" ht="12.75" customHeight="1" x14ac:dyDescent="0.25">
      <c r="A49" s="11">
        <v>54202</v>
      </c>
      <c r="B49" s="12" t="s">
        <v>46</v>
      </c>
      <c r="C49" s="69">
        <v>42600</v>
      </c>
      <c r="D49" s="69">
        <v>0</v>
      </c>
      <c r="E49" s="66">
        <f t="shared" si="4"/>
        <v>42600</v>
      </c>
      <c r="F49" s="66">
        <v>2845.46</v>
      </c>
      <c r="G49" s="66">
        <v>0</v>
      </c>
      <c r="H49" s="67">
        <f t="shared" si="0"/>
        <v>39754.54</v>
      </c>
    </row>
    <row r="50" spans="1:8" ht="12.75" customHeight="1" x14ac:dyDescent="0.25">
      <c r="A50" s="17">
        <v>54203</v>
      </c>
      <c r="B50" s="18" t="s">
        <v>47</v>
      </c>
      <c r="C50" s="79">
        <v>146650</v>
      </c>
      <c r="D50" s="79">
        <v>617.04</v>
      </c>
      <c r="E50" s="66">
        <f t="shared" si="4"/>
        <v>147267.04</v>
      </c>
      <c r="F50" s="66">
        <v>23798.75</v>
      </c>
      <c r="G50" s="66">
        <v>0</v>
      </c>
      <c r="H50" s="80">
        <f t="shared" si="0"/>
        <v>123468.29000000001</v>
      </c>
    </row>
    <row r="51" spans="1:8" ht="12.75" customHeight="1" x14ac:dyDescent="0.25">
      <c r="A51" s="11">
        <v>54204</v>
      </c>
      <c r="B51" s="12" t="s">
        <v>48</v>
      </c>
      <c r="C51" s="69">
        <v>1200</v>
      </c>
      <c r="D51" s="69">
        <v>0</v>
      </c>
      <c r="E51" s="66">
        <f t="shared" si="4"/>
        <v>1200</v>
      </c>
      <c r="F51" s="66">
        <v>0</v>
      </c>
      <c r="G51" s="66">
        <v>0</v>
      </c>
      <c r="H51" s="87">
        <f t="shared" si="0"/>
        <v>1200</v>
      </c>
    </row>
    <row r="52" spans="1:8" ht="12.75" customHeight="1" x14ac:dyDescent="0.25">
      <c r="A52" s="27"/>
      <c r="B52" s="14" t="s">
        <v>43</v>
      </c>
      <c r="C52" s="72">
        <f>SUM(C48:C51)</f>
        <v>387795</v>
      </c>
      <c r="D52" s="72">
        <f>SUM(D48:D51)</f>
        <v>-707.96</v>
      </c>
      <c r="E52" s="72">
        <f>SUM(E48:E51)</f>
        <v>387087.04000000004</v>
      </c>
      <c r="F52" s="72">
        <f>SUM(F48:F51)</f>
        <v>50640.149999999994</v>
      </c>
      <c r="G52" s="72">
        <f>SUM(G48:G51)</f>
        <v>0</v>
      </c>
      <c r="H52" s="88">
        <f t="shared" si="0"/>
        <v>336446.89</v>
      </c>
    </row>
    <row r="53" spans="1:8" ht="12.75" customHeight="1" x14ac:dyDescent="0.25">
      <c r="A53" s="11">
        <v>54301</v>
      </c>
      <c r="B53" s="12" t="s">
        <v>49</v>
      </c>
      <c r="C53" s="69">
        <v>32600</v>
      </c>
      <c r="D53" s="69">
        <v>0</v>
      </c>
      <c r="E53" s="66">
        <f t="shared" ref="E53:E64" si="5">+C53+D53</f>
        <v>32600</v>
      </c>
      <c r="F53" s="66">
        <v>6306.65</v>
      </c>
      <c r="G53" s="66">
        <v>0</v>
      </c>
      <c r="H53" s="87">
        <f t="shared" si="0"/>
        <v>26293.35</v>
      </c>
    </row>
    <row r="54" spans="1:8" ht="12.75" customHeight="1" x14ac:dyDescent="0.25">
      <c r="A54" s="9">
        <v>54302</v>
      </c>
      <c r="B54" s="10" t="s">
        <v>50</v>
      </c>
      <c r="C54" s="66">
        <v>63000</v>
      </c>
      <c r="D54" s="66">
        <v>0</v>
      </c>
      <c r="E54" s="66">
        <f t="shared" si="5"/>
        <v>63000</v>
      </c>
      <c r="F54" s="66">
        <v>2434.27</v>
      </c>
      <c r="G54" s="66">
        <v>0</v>
      </c>
      <c r="H54" s="67">
        <f t="shared" si="0"/>
        <v>60565.73</v>
      </c>
    </row>
    <row r="55" spans="1:8" ht="12.75" customHeight="1" x14ac:dyDescent="0.25">
      <c r="A55" s="11">
        <v>54304</v>
      </c>
      <c r="B55" s="12" t="s">
        <v>51</v>
      </c>
      <c r="C55" s="69">
        <v>4500</v>
      </c>
      <c r="D55" s="69">
        <v>0</v>
      </c>
      <c r="E55" s="66">
        <f t="shared" si="5"/>
        <v>4500</v>
      </c>
      <c r="F55" s="66">
        <v>0</v>
      </c>
      <c r="G55" s="66">
        <v>0</v>
      </c>
      <c r="H55" s="8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69">
        <v>44600</v>
      </c>
      <c r="D56" s="69">
        <v>-3840.17</v>
      </c>
      <c r="E56" s="66">
        <f t="shared" si="5"/>
        <v>40759.83</v>
      </c>
      <c r="F56" s="66">
        <v>0</v>
      </c>
      <c r="G56" s="66">
        <v>0</v>
      </c>
      <c r="H56" s="87">
        <f t="shared" si="0"/>
        <v>40759.83</v>
      </c>
    </row>
    <row r="57" spans="1:8" ht="12.75" customHeight="1" x14ac:dyDescent="0.25">
      <c r="A57" s="11">
        <v>54306</v>
      </c>
      <c r="B57" s="12" t="s">
        <v>53</v>
      </c>
      <c r="C57" s="69">
        <v>4300</v>
      </c>
      <c r="D57" s="69">
        <v>70</v>
      </c>
      <c r="E57" s="66">
        <f t="shared" si="5"/>
        <v>4370</v>
      </c>
      <c r="F57" s="66">
        <v>4320</v>
      </c>
      <c r="G57" s="66">
        <v>0</v>
      </c>
      <c r="H57" s="8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69">
        <v>6500</v>
      </c>
      <c r="D58" s="69">
        <v>420</v>
      </c>
      <c r="E58" s="66">
        <f t="shared" si="5"/>
        <v>6920</v>
      </c>
      <c r="F58" s="66">
        <v>6450</v>
      </c>
      <c r="G58" s="66">
        <v>0</v>
      </c>
      <c r="H58" s="8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69">
        <v>500</v>
      </c>
      <c r="D59" s="69">
        <v>0</v>
      </c>
      <c r="E59" s="66">
        <f t="shared" si="5"/>
        <v>500</v>
      </c>
      <c r="F59" s="66">
        <v>0</v>
      </c>
      <c r="G59" s="66"/>
      <c r="H59" s="8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69">
        <v>37130</v>
      </c>
      <c r="D60" s="69">
        <v>0</v>
      </c>
      <c r="E60" s="66">
        <f t="shared" si="5"/>
        <v>37130</v>
      </c>
      <c r="F60" s="66">
        <v>0</v>
      </c>
      <c r="G60" s="66">
        <v>0</v>
      </c>
      <c r="H60" s="87">
        <f t="shared" si="0"/>
        <v>37130</v>
      </c>
    </row>
    <row r="61" spans="1:8" ht="12.75" customHeight="1" x14ac:dyDescent="0.25">
      <c r="A61" s="11">
        <v>54314</v>
      </c>
      <c r="B61" s="12" t="s">
        <v>57</v>
      </c>
      <c r="C61" s="69">
        <v>35810</v>
      </c>
      <c r="D61" s="69">
        <v>728.25</v>
      </c>
      <c r="E61" s="66">
        <f t="shared" si="5"/>
        <v>36538.25</v>
      </c>
      <c r="F61" s="66">
        <v>728.25</v>
      </c>
      <c r="G61" s="66">
        <v>0</v>
      </c>
      <c r="H61" s="87">
        <f t="shared" si="0"/>
        <v>35810</v>
      </c>
    </row>
    <row r="62" spans="1:8" ht="12.75" customHeight="1" x14ac:dyDescent="0.25">
      <c r="A62" s="11">
        <v>54316</v>
      </c>
      <c r="B62" s="12" t="s">
        <v>58</v>
      </c>
      <c r="C62" s="69">
        <v>25000</v>
      </c>
      <c r="D62" s="69">
        <v>0</v>
      </c>
      <c r="E62" s="66">
        <f t="shared" si="5"/>
        <v>25000</v>
      </c>
      <c r="F62" s="66">
        <v>8188.75</v>
      </c>
      <c r="G62" s="66">
        <v>0</v>
      </c>
      <c r="H62" s="8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69">
        <v>598270</v>
      </c>
      <c r="D63" s="69">
        <v>1600</v>
      </c>
      <c r="E63" s="66">
        <f t="shared" si="5"/>
        <v>599870</v>
      </c>
      <c r="F63" s="66">
        <v>585064.92000000004</v>
      </c>
      <c r="G63" s="66">
        <v>0</v>
      </c>
      <c r="H63" s="8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69">
        <v>44460</v>
      </c>
      <c r="D64" s="69">
        <v>8467.7999999999993</v>
      </c>
      <c r="E64" s="66">
        <f t="shared" si="5"/>
        <v>52927.8</v>
      </c>
      <c r="F64" s="66">
        <v>43741.52</v>
      </c>
      <c r="G64" s="66">
        <v>0</v>
      </c>
      <c r="H64" s="87">
        <f t="shared" si="0"/>
        <v>9186.2800000000061</v>
      </c>
    </row>
    <row r="65" spans="1:9" ht="12.75" customHeight="1" x14ac:dyDescent="0.25">
      <c r="A65" s="27"/>
      <c r="B65" s="14" t="s">
        <v>43</v>
      </c>
      <c r="C65" s="72">
        <f>SUM(C53:C64)</f>
        <v>896670</v>
      </c>
      <c r="D65" s="72">
        <f>SUM(D53:D64)</f>
        <v>7445.8799999999992</v>
      </c>
      <c r="E65" s="72">
        <f>SUM(E53:E64)</f>
        <v>904115.88000000012</v>
      </c>
      <c r="F65" s="72">
        <f>SUM(F53:F64)</f>
        <v>657234.3600000001</v>
      </c>
      <c r="G65" s="72">
        <f>SUM(G53:G64)</f>
        <v>0</v>
      </c>
      <c r="H65" s="88">
        <f t="shared" si="0"/>
        <v>246881.52000000002</v>
      </c>
    </row>
    <row r="66" spans="1:9" ht="12.75" customHeight="1" x14ac:dyDescent="0.25">
      <c r="A66" s="11">
        <v>54402</v>
      </c>
      <c r="B66" s="12" t="s">
        <v>61</v>
      </c>
      <c r="C66" s="69">
        <v>11035</v>
      </c>
      <c r="D66" s="69">
        <v>597.4</v>
      </c>
      <c r="E66" s="66">
        <f t="shared" ref="E66:E68" si="6">+C66+D66</f>
        <v>11632.4</v>
      </c>
      <c r="F66" s="66">
        <v>3632.4</v>
      </c>
      <c r="G66" s="69">
        <v>0</v>
      </c>
      <c r="H66" s="8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69">
        <v>11460</v>
      </c>
      <c r="D67" s="69">
        <v>51</v>
      </c>
      <c r="E67" s="66">
        <f t="shared" si="6"/>
        <v>11511</v>
      </c>
      <c r="F67" s="66">
        <v>1223</v>
      </c>
      <c r="G67" s="66">
        <v>0</v>
      </c>
      <c r="H67" s="87">
        <f t="shared" si="0"/>
        <v>10288</v>
      </c>
    </row>
    <row r="68" spans="1:9" ht="12.75" customHeight="1" x14ac:dyDescent="0.25">
      <c r="A68" s="11">
        <v>54404</v>
      </c>
      <c r="B68" s="12" t="s">
        <v>63</v>
      </c>
      <c r="C68" s="69">
        <v>20000</v>
      </c>
      <c r="D68" s="69">
        <v>1325</v>
      </c>
      <c r="E68" s="66">
        <f t="shared" si="6"/>
        <v>21325</v>
      </c>
      <c r="F68" s="66">
        <v>6325</v>
      </c>
      <c r="G68" s="66">
        <v>0</v>
      </c>
      <c r="H68" s="87">
        <f t="shared" si="0"/>
        <v>15000</v>
      </c>
    </row>
    <row r="69" spans="1:9" ht="12.75" customHeight="1" x14ac:dyDescent="0.25">
      <c r="A69" s="27"/>
      <c r="B69" s="14" t="s">
        <v>43</v>
      </c>
      <c r="C69" s="72">
        <f>SUM(C66:C68)</f>
        <v>42495</v>
      </c>
      <c r="D69" s="72">
        <f>SUM(D66:D68)</f>
        <v>1973.4</v>
      </c>
      <c r="E69" s="72">
        <f>SUM(E66:E68)</f>
        <v>44468.4</v>
      </c>
      <c r="F69" s="72">
        <f>SUM(F66:F68)</f>
        <v>11180.4</v>
      </c>
      <c r="G69" s="72">
        <f>SUM(G66:G68)</f>
        <v>0</v>
      </c>
      <c r="H69" s="88">
        <f t="shared" si="0"/>
        <v>33288</v>
      </c>
    </row>
    <row r="70" spans="1:9" ht="12.75" customHeight="1" x14ac:dyDescent="0.25">
      <c r="A70" s="11">
        <v>54505</v>
      </c>
      <c r="B70" s="12" t="s">
        <v>64</v>
      </c>
      <c r="C70" s="69">
        <v>7000</v>
      </c>
      <c r="D70" s="69">
        <v>0</v>
      </c>
      <c r="E70" s="66">
        <f t="shared" ref="E70:E71" si="7">+C70+D70</f>
        <v>7000</v>
      </c>
      <c r="F70" s="66">
        <v>0</v>
      </c>
      <c r="G70" s="66">
        <v>0</v>
      </c>
      <c r="H70" s="8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69">
        <v>78800</v>
      </c>
      <c r="D71" s="69">
        <v>-11446.69</v>
      </c>
      <c r="E71" s="66">
        <f t="shared" si="7"/>
        <v>67353.31</v>
      </c>
      <c r="F71" s="66">
        <v>0</v>
      </c>
      <c r="G71" s="66">
        <v>0</v>
      </c>
      <c r="H71" s="87">
        <f t="shared" si="0"/>
        <v>67353.31</v>
      </c>
    </row>
    <row r="72" spans="1:9" ht="12.75" customHeight="1" x14ac:dyDescent="0.25">
      <c r="A72" s="27"/>
      <c r="B72" s="14" t="s">
        <v>43</v>
      </c>
      <c r="C72" s="72">
        <f>SUM(C70:C71)</f>
        <v>85800</v>
      </c>
      <c r="D72" s="72">
        <f>SUM(D70:D71)</f>
        <v>-11446.69</v>
      </c>
      <c r="E72" s="72">
        <f>SUM(E70:E71)</f>
        <v>74353.31</v>
      </c>
      <c r="F72" s="72">
        <f>SUM(F70:F71)</f>
        <v>0</v>
      </c>
      <c r="G72" s="72">
        <f>SUM(G70:G71)</f>
        <v>0</v>
      </c>
      <c r="H72" s="87">
        <f t="shared" si="0"/>
        <v>74353.31</v>
      </c>
    </row>
    <row r="73" spans="1:9" ht="12.75" customHeight="1" x14ac:dyDescent="0.25">
      <c r="A73" s="28"/>
      <c r="B73" s="14" t="s">
        <v>24</v>
      </c>
      <c r="C73" s="72">
        <f>+C72+C69+C65+C52+C43</f>
        <v>2659864</v>
      </c>
      <c r="D73" s="72">
        <f>+D72+D69+D65+D52+D43</f>
        <v>-414912.74</v>
      </c>
      <c r="E73" s="119">
        <f>+E72+E69+E65+E52+E43</f>
        <v>2244951.2600000002</v>
      </c>
      <c r="F73" s="120">
        <f>+F72+F69+F65+F52+F43</f>
        <v>1241956.5</v>
      </c>
      <c r="G73" s="89">
        <f>+G72+G69+G65+G52+G43</f>
        <v>0</v>
      </c>
      <c r="H73" s="90">
        <f t="shared" si="0"/>
        <v>1002994.7600000002</v>
      </c>
    </row>
    <row r="74" spans="1:9" ht="12.75" customHeight="1" x14ac:dyDescent="0.25">
      <c r="A74" s="11">
        <v>55599</v>
      </c>
      <c r="B74" s="12" t="s">
        <v>66</v>
      </c>
      <c r="C74" s="69">
        <v>4710</v>
      </c>
      <c r="D74" s="69">
        <v>0</v>
      </c>
      <c r="E74" s="66">
        <f>+C74+D74</f>
        <v>4710</v>
      </c>
      <c r="F74" s="66"/>
      <c r="G74" s="66">
        <v>0</v>
      </c>
      <c r="H74" s="87">
        <f t="shared" ref="H74:H98" si="8">+E74-F74-G74</f>
        <v>4710</v>
      </c>
    </row>
    <row r="75" spans="1:9" ht="12.75" customHeight="1" x14ac:dyDescent="0.25">
      <c r="A75" s="27"/>
      <c r="B75" s="14" t="s">
        <v>43</v>
      </c>
      <c r="C75" s="72">
        <f>SUM(C74)</f>
        <v>4710</v>
      </c>
      <c r="D75" s="72">
        <f>SUM(D74)</f>
        <v>0</v>
      </c>
      <c r="E75" s="72">
        <f>SUM(E74)</f>
        <v>4710</v>
      </c>
      <c r="F75" s="72">
        <f>SUM(F74)</f>
        <v>0</v>
      </c>
      <c r="G75" s="72">
        <f>SUM(G74)</f>
        <v>0</v>
      </c>
      <c r="H75" s="87">
        <f t="shared" si="8"/>
        <v>4710</v>
      </c>
    </row>
    <row r="76" spans="1:9" ht="12.75" customHeight="1" x14ac:dyDescent="0.25">
      <c r="A76" s="11">
        <v>55601</v>
      </c>
      <c r="B76" s="12" t="s">
        <v>67</v>
      </c>
      <c r="C76" s="69">
        <v>48000</v>
      </c>
      <c r="D76" s="69">
        <v>-11975.72</v>
      </c>
      <c r="E76" s="66">
        <f t="shared" ref="E76:E78" si="9">+C76+D76</f>
        <v>36024.28</v>
      </c>
      <c r="F76" s="66">
        <v>36024.28</v>
      </c>
      <c r="G76" s="66">
        <v>0</v>
      </c>
      <c r="H76" s="8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69">
        <v>26000</v>
      </c>
      <c r="D77" s="69">
        <v>13004.99</v>
      </c>
      <c r="E77" s="66">
        <f t="shared" si="9"/>
        <v>39004.99</v>
      </c>
      <c r="F77" s="66">
        <v>39004.99</v>
      </c>
      <c r="G77" s="66">
        <v>0</v>
      </c>
      <c r="H77" s="8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69">
        <v>25</v>
      </c>
      <c r="D78" s="69">
        <v>0</v>
      </c>
      <c r="E78" s="66">
        <f t="shared" si="9"/>
        <v>25</v>
      </c>
      <c r="F78" s="66">
        <v>25</v>
      </c>
      <c r="G78" s="69">
        <v>0</v>
      </c>
      <c r="H78" s="87">
        <f t="shared" si="8"/>
        <v>0</v>
      </c>
    </row>
    <row r="79" spans="1:9" ht="12.75" customHeight="1" x14ac:dyDescent="0.25">
      <c r="A79" s="27"/>
      <c r="B79" s="14" t="s">
        <v>43</v>
      </c>
      <c r="C79" s="72">
        <f>SUM(C76:C78)</f>
        <v>74025</v>
      </c>
      <c r="D79" s="72">
        <f>SUM(D76:D77)</f>
        <v>1029.2700000000004</v>
      </c>
      <c r="E79" s="72">
        <f>SUM(E76:E78)</f>
        <v>75054.26999999999</v>
      </c>
      <c r="F79" s="72">
        <f>SUM(F76:F78)</f>
        <v>75054.26999999999</v>
      </c>
      <c r="G79" s="72">
        <f>SUM(G76:G78)</f>
        <v>0</v>
      </c>
      <c r="H79" s="8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72">
        <f>+C79+C75</f>
        <v>78735</v>
      </c>
      <c r="D80" s="72">
        <f>+D75+D79</f>
        <v>1029.2700000000004</v>
      </c>
      <c r="E80" s="119">
        <f>+E79+E75</f>
        <v>79764.26999999999</v>
      </c>
      <c r="F80" s="120">
        <f>+F79+F75</f>
        <v>75054.26999999999</v>
      </c>
      <c r="G80" s="89">
        <f>+G75+G79</f>
        <v>0</v>
      </c>
      <c r="H80" s="90">
        <f t="shared" si="8"/>
        <v>4710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69">
        <v>4000</v>
      </c>
      <c r="D81" s="69">
        <v>0</v>
      </c>
      <c r="E81" s="66">
        <f t="shared" ref="E81:E82" si="10">+C81+D81</f>
        <v>4000</v>
      </c>
      <c r="F81" s="66"/>
      <c r="G81" s="69">
        <v>0</v>
      </c>
      <c r="H81" s="8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69">
        <v>0</v>
      </c>
      <c r="D82" s="69">
        <v>0</v>
      </c>
      <c r="E82" s="66">
        <f t="shared" si="10"/>
        <v>0</v>
      </c>
      <c r="F82" s="66">
        <v>0</v>
      </c>
      <c r="G82" s="69">
        <v>0</v>
      </c>
      <c r="H82" s="8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72">
        <f>C82+C81</f>
        <v>4000</v>
      </c>
      <c r="D83" s="72">
        <f>SUM(D81:D82)</f>
        <v>0</v>
      </c>
      <c r="E83" s="72">
        <f>SUM(E81:E82)</f>
        <v>4000</v>
      </c>
      <c r="F83" s="72">
        <f>SUM(F81:F82)</f>
        <v>0</v>
      </c>
      <c r="G83" s="72">
        <f>SUM(G81)</f>
        <v>0</v>
      </c>
      <c r="H83" s="88">
        <f t="shared" si="8"/>
        <v>4000</v>
      </c>
      <c r="I83" s="30"/>
    </row>
    <row r="84" spans="1:9" s="31" customFormat="1" ht="12.75" customHeight="1" x14ac:dyDescent="0.25">
      <c r="A84" s="11">
        <v>56404</v>
      </c>
      <c r="B84" s="12" t="s">
        <v>72</v>
      </c>
      <c r="C84" s="69">
        <v>5500</v>
      </c>
      <c r="D84" s="69">
        <v>0</v>
      </c>
      <c r="E84" s="66">
        <f>+C84+D84</f>
        <v>5500</v>
      </c>
      <c r="F84" s="66">
        <v>5242.17</v>
      </c>
      <c r="G84" s="69">
        <v>0</v>
      </c>
      <c r="H84" s="8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94">
        <f>SUM(C84)</f>
        <v>5500</v>
      </c>
      <c r="D85" s="94">
        <f>SUM(D84)</f>
        <v>0</v>
      </c>
      <c r="E85" s="94">
        <f>SUM(E84)</f>
        <v>5500</v>
      </c>
      <c r="F85" s="94">
        <f>SUM(F84)</f>
        <v>5242.17</v>
      </c>
      <c r="G85" s="94">
        <f>SUM(G84)</f>
        <v>0</v>
      </c>
      <c r="H85" s="95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96">
        <f>+C83+C85</f>
        <v>9500</v>
      </c>
      <c r="D86" s="96">
        <f t="shared" ref="D86:H86" si="11">+D83+D85</f>
        <v>0</v>
      </c>
      <c r="E86" s="121">
        <f t="shared" si="11"/>
        <v>9500</v>
      </c>
      <c r="F86" s="122">
        <f t="shared" si="11"/>
        <v>5242.17</v>
      </c>
      <c r="G86" s="99">
        <f t="shared" si="11"/>
        <v>0</v>
      </c>
      <c r="H86" s="100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83"/>
      <c r="D87" s="83"/>
      <c r="E87" s="83"/>
      <c r="F87" s="83"/>
      <c r="G87" s="83"/>
      <c r="H87" s="83"/>
      <c r="I87" s="30"/>
    </row>
    <row r="88" spans="1:9" s="31" customFormat="1" ht="12.75" customHeight="1" x14ac:dyDescent="0.25">
      <c r="A88" s="22"/>
      <c r="B88" s="22"/>
      <c r="C88" s="83"/>
      <c r="D88" s="83"/>
      <c r="E88" s="83"/>
      <c r="F88" s="83"/>
      <c r="G88" s="83"/>
      <c r="H88" s="83"/>
      <c r="I88" s="30"/>
    </row>
    <row r="89" spans="1:9" s="31" customFormat="1" ht="12.75" customHeight="1" thickBot="1" x14ac:dyDescent="0.3">
      <c r="A89" s="22"/>
      <c r="B89" s="22"/>
      <c r="C89" s="83"/>
      <c r="D89" s="83"/>
      <c r="E89" s="83"/>
      <c r="F89" s="83"/>
      <c r="G89" s="83"/>
      <c r="H89" s="83"/>
      <c r="I89" s="30"/>
    </row>
    <row r="90" spans="1:9" s="31" customFormat="1" ht="12.75" customHeight="1" thickBot="1" x14ac:dyDescent="0.3">
      <c r="A90" s="3" t="s">
        <v>5</v>
      </c>
      <c r="B90" s="4" t="s">
        <v>6</v>
      </c>
      <c r="C90" s="23" t="s">
        <v>7</v>
      </c>
      <c r="D90" s="5" t="s">
        <v>8</v>
      </c>
      <c r="E90" s="63" t="s">
        <v>44</v>
      </c>
      <c r="F90" s="64" t="s">
        <v>10</v>
      </c>
      <c r="G90" s="24" t="s">
        <v>11</v>
      </c>
      <c r="H90" s="36" t="s">
        <v>12</v>
      </c>
      <c r="I90" s="30"/>
    </row>
    <row r="91" spans="1:9" s="40" customFormat="1" ht="12.75" customHeight="1" x14ac:dyDescent="0.2">
      <c r="A91" s="37">
        <v>61101</v>
      </c>
      <c r="B91" s="38" t="s">
        <v>73</v>
      </c>
      <c r="C91" s="101">
        <v>3060</v>
      </c>
      <c r="D91" s="101">
        <v>0</v>
      </c>
      <c r="E91" s="85">
        <f t="shared" ref="E91:E95" si="12">+C91+D91</f>
        <v>3060</v>
      </c>
      <c r="F91" s="85">
        <v>0</v>
      </c>
      <c r="G91" s="101">
        <v>0</v>
      </c>
      <c r="H91" s="86">
        <f t="shared" si="8"/>
        <v>3060</v>
      </c>
      <c r="I91" s="39"/>
    </row>
    <row r="92" spans="1:9" s="40" customFormat="1" ht="12.75" customHeight="1" x14ac:dyDescent="0.2">
      <c r="A92" s="27">
        <v>61102</v>
      </c>
      <c r="B92" s="41" t="s">
        <v>74</v>
      </c>
      <c r="C92" s="70">
        <v>6760</v>
      </c>
      <c r="D92" s="70">
        <v>0</v>
      </c>
      <c r="E92" s="66">
        <f t="shared" si="12"/>
        <v>6760</v>
      </c>
      <c r="F92" s="66">
        <v>0</v>
      </c>
      <c r="G92" s="70">
        <v>0</v>
      </c>
      <c r="H92" s="87">
        <f t="shared" si="8"/>
        <v>6760</v>
      </c>
      <c r="I92" s="39"/>
    </row>
    <row r="93" spans="1:9" s="40" customFormat="1" ht="12.75" customHeight="1" x14ac:dyDescent="0.2">
      <c r="A93" s="27">
        <v>61103</v>
      </c>
      <c r="B93" s="41" t="s">
        <v>75</v>
      </c>
      <c r="C93" s="70">
        <v>500</v>
      </c>
      <c r="D93" s="70">
        <v>0</v>
      </c>
      <c r="E93" s="66">
        <f t="shared" si="12"/>
        <v>500</v>
      </c>
      <c r="F93" s="66">
        <v>0</v>
      </c>
      <c r="G93" s="70">
        <v>0</v>
      </c>
      <c r="H93" s="87">
        <f t="shared" si="8"/>
        <v>500</v>
      </c>
      <c r="I93" s="39"/>
    </row>
    <row r="94" spans="1:9" s="40" customFormat="1" ht="12.75" customHeight="1" x14ac:dyDescent="0.2">
      <c r="A94" s="27">
        <v>61104</v>
      </c>
      <c r="B94" s="41" t="s">
        <v>76</v>
      </c>
      <c r="C94" s="70">
        <v>16000</v>
      </c>
      <c r="D94" s="70">
        <v>0</v>
      </c>
      <c r="E94" s="66">
        <f t="shared" si="12"/>
        <v>16000</v>
      </c>
      <c r="F94" s="66">
        <v>0</v>
      </c>
      <c r="G94" s="70">
        <v>0</v>
      </c>
      <c r="H94" s="87">
        <f t="shared" si="8"/>
        <v>16000</v>
      </c>
      <c r="I94" s="39"/>
    </row>
    <row r="95" spans="1:9" s="31" customFormat="1" ht="12.75" customHeight="1" x14ac:dyDescent="0.25">
      <c r="A95" s="11">
        <v>61108</v>
      </c>
      <c r="B95" s="12" t="s">
        <v>40</v>
      </c>
      <c r="C95" s="69">
        <v>1000</v>
      </c>
      <c r="D95" s="69">
        <v>0</v>
      </c>
      <c r="E95" s="66">
        <f t="shared" si="12"/>
        <v>1000</v>
      </c>
      <c r="F95" s="66">
        <v>0</v>
      </c>
      <c r="G95" s="69">
        <v>0</v>
      </c>
      <c r="H95" s="87">
        <f t="shared" si="8"/>
        <v>1000</v>
      </c>
      <c r="I95" s="30"/>
    </row>
    <row r="96" spans="1:9" s="31" customFormat="1" ht="12.75" customHeight="1" x14ac:dyDescent="0.25">
      <c r="A96" s="27"/>
      <c r="B96" s="14" t="s">
        <v>43</v>
      </c>
      <c r="C96" s="72">
        <f>SUM(C91:C95)</f>
        <v>27320</v>
      </c>
      <c r="D96" s="72">
        <f>SUM(D91:D95)</f>
        <v>0</v>
      </c>
      <c r="E96" s="72">
        <f>SUM(E91:E95)</f>
        <v>27320</v>
      </c>
      <c r="F96" s="72">
        <f>SUM(F91:F95)</f>
        <v>0</v>
      </c>
      <c r="G96" s="72">
        <f>SUM(G95)</f>
        <v>0</v>
      </c>
      <c r="H96" s="88">
        <f t="shared" si="8"/>
        <v>27320</v>
      </c>
      <c r="I96" s="30"/>
    </row>
    <row r="97" spans="1:10" s="31" customFormat="1" ht="12.75" customHeight="1" x14ac:dyDescent="0.25">
      <c r="A97" s="11">
        <v>61403</v>
      </c>
      <c r="B97" s="12" t="s">
        <v>77</v>
      </c>
      <c r="C97" s="69">
        <v>9235</v>
      </c>
      <c r="D97" s="69"/>
      <c r="E97" s="66">
        <f>+C97+D97</f>
        <v>9235</v>
      </c>
      <c r="F97" s="69">
        <v>0</v>
      </c>
      <c r="G97" s="69">
        <v>0</v>
      </c>
      <c r="H97" s="87">
        <f t="shared" si="8"/>
        <v>9235</v>
      </c>
      <c r="I97" s="30"/>
    </row>
    <row r="98" spans="1:10" s="31" customFormat="1" ht="12.75" customHeight="1" thickBot="1" x14ac:dyDescent="0.3">
      <c r="A98" s="42"/>
      <c r="B98" s="43" t="s">
        <v>43</v>
      </c>
      <c r="C98" s="104">
        <f>+C97</f>
        <v>9235</v>
      </c>
      <c r="D98" s="104">
        <f>+D97</f>
        <v>0</v>
      </c>
      <c r="E98" s="105">
        <f>+E97</f>
        <v>9235</v>
      </c>
      <c r="F98" s="105">
        <f>+F97</f>
        <v>0</v>
      </c>
      <c r="G98" s="105">
        <f>SUM(G97)</f>
        <v>0</v>
      </c>
      <c r="H98" s="106">
        <f t="shared" si="8"/>
        <v>9235</v>
      </c>
      <c r="I98" s="30"/>
    </row>
    <row r="99" spans="1:10" s="31" customFormat="1" ht="12.75" customHeight="1" thickBot="1" x14ac:dyDescent="0.3">
      <c r="A99" s="44"/>
      <c r="B99" s="45" t="s">
        <v>24</v>
      </c>
      <c r="C99" s="107">
        <f>+C96+C98</f>
        <v>36555</v>
      </c>
      <c r="D99" s="107">
        <f>+D98+D96</f>
        <v>0</v>
      </c>
      <c r="E99" s="123">
        <f>+E98+E96</f>
        <v>36555</v>
      </c>
      <c r="F99" s="124">
        <f>+F98+F96</f>
        <v>0</v>
      </c>
      <c r="G99" s="110">
        <v>0</v>
      </c>
      <c r="H99" s="111">
        <f>+H98+H96</f>
        <v>36555</v>
      </c>
      <c r="I99" s="30"/>
    </row>
    <row r="100" spans="1:10" ht="12.75" customHeight="1" x14ac:dyDescent="0.25">
      <c r="A100" s="46"/>
      <c r="B100" s="47" t="s">
        <v>78</v>
      </c>
      <c r="C100" s="112">
        <f>+C99+C86+C80+C73+C24</f>
        <v>10687404</v>
      </c>
      <c r="D100" s="113">
        <f>+D99+D86+D80+D73+D24</f>
        <v>0</v>
      </c>
      <c r="E100" s="125">
        <f>+E24+E73+E80+E99+E86</f>
        <v>10687404</v>
      </c>
      <c r="F100" s="126">
        <f>+F24+F73+F80+F99+F86</f>
        <v>2491939.29</v>
      </c>
      <c r="G100" s="116">
        <f>+G24+G73+G80+G99+G86</f>
        <v>75334.500000000015</v>
      </c>
      <c r="H100" s="117">
        <f>+E100-F100-G100</f>
        <v>8120130.21</v>
      </c>
      <c r="I100" s="29"/>
    </row>
    <row r="101" spans="1:10" ht="12.75" customHeight="1" x14ac:dyDescent="0.25">
      <c r="A101" s="68"/>
      <c r="B101" s="68"/>
      <c r="C101" s="118"/>
      <c r="D101" s="118"/>
      <c r="E101" s="118"/>
      <c r="F101" s="118"/>
      <c r="G101" s="118"/>
      <c r="H101" s="91"/>
      <c r="I101" s="29"/>
    </row>
    <row r="102" spans="1:10" ht="12.75" customHeight="1" x14ac:dyDescent="0.25">
      <c r="C102" s="48"/>
      <c r="D102" s="48"/>
      <c r="E102" s="48"/>
      <c r="F102" s="48"/>
      <c r="G102" s="48"/>
      <c r="H102" s="29"/>
      <c r="I102" s="29"/>
    </row>
    <row r="103" spans="1:10" ht="12.75" customHeight="1" x14ac:dyDescent="0.25">
      <c r="C103" s="48"/>
      <c r="D103" s="48"/>
      <c r="E103" s="48"/>
      <c r="F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G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J108" s="29"/>
    </row>
    <row r="109" spans="1:10" ht="12.75" customHeight="1" x14ac:dyDescent="0.25">
      <c r="C109" s="48"/>
      <c r="D109" s="48"/>
      <c r="E109" s="48"/>
      <c r="F109" s="48"/>
      <c r="G109" s="48"/>
    </row>
    <row r="110" spans="1:10" ht="12.75" customHeight="1" x14ac:dyDescent="0.25">
      <c r="C110" s="49"/>
      <c r="D110" s="49"/>
      <c r="E110" s="49"/>
      <c r="F110" s="49"/>
      <c r="G110" s="49"/>
      <c r="H110" s="49"/>
    </row>
    <row r="111" spans="1:10" ht="12.75" customHeight="1" x14ac:dyDescent="0.25">
      <c r="C111" s="50"/>
      <c r="D111" s="50"/>
      <c r="E111" s="50"/>
      <c r="F111" s="50"/>
      <c r="G111" s="50"/>
      <c r="H111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" footer="0"/>
  <pageSetup scale="90" orientation="landscape" horizontalDpi="4294967293" r:id="rId1"/>
  <headerFooter>
    <oddFooter>&amp;COFICIAL DE INFORMACION
EJECUCION FEB-2020&amp;R&amp;P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82" workbookViewId="0">
      <selection activeCell="K98" sqref="K9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60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60"/>
      <c r="H4" s="2"/>
      <c r="I4" s="1"/>
    </row>
    <row r="5" spans="1:9" ht="12.75" customHeight="1" x14ac:dyDescent="0.25">
      <c r="A5" s="2"/>
      <c r="B5" s="60"/>
      <c r="C5" s="60"/>
      <c r="D5" s="60"/>
      <c r="E5" s="60"/>
      <c r="F5" s="60"/>
      <c r="G5" s="60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59"/>
      <c r="B7" s="190" t="s">
        <v>81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34942.53</v>
      </c>
      <c r="H10" s="130">
        <f t="shared" ref="H10:H73" si="0">+E10-F10-G10</f>
        <v>3213447.5300000003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40637.089999999997</v>
      </c>
      <c r="H13" s="130">
        <f t="shared" si="0"/>
        <v>1081543.45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10287.209999999999</v>
      </c>
      <c r="H16" s="130">
        <f t="shared" si="0"/>
        <v>216020.08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2733.35</v>
      </c>
      <c r="H17" s="130">
        <f t="shared" si="0"/>
        <v>60733.930000000008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12843.05</v>
      </c>
      <c r="H18" s="130">
        <f t="shared" si="0"/>
        <v>243164.77000000002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4788.4799999999996</v>
      </c>
      <c r="H19" s="130">
        <f t="shared" si="0"/>
        <v>84432.36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0.32</v>
      </c>
      <c r="H20" s="130">
        <f t="shared" si="0"/>
        <v>31086.639999999999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26617.759999999998</v>
      </c>
      <c r="G23" s="129">
        <v>5907.24</v>
      </c>
      <c r="H23" s="130">
        <f t="shared" si="0"/>
        <v>38925.000000000007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2361780.7199999997</v>
      </c>
      <c r="G24" s="137">
        <f t="shared" si="2"/>
        <v>112147.01000000001</v>
      </c>
      <c r="H24" s="138">
        <f t="shared" si="2"/>
        <v>5842705.7400000002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1081.25</v>
      </c>
      <c r="E25" s="129">
        <f t="shared" ref="E25:E42" si="3">+C25+D25</f>
        <v>46551.25</v>
      </c>
      <c r="F25" s="129">
        <v>25930.75</v>
      </c>
      <c r="G25" s="129">
        <v>0</v>
      </c>
      <c r="H25" s="130">
        <f t="shared" si="0"/>
        <v>20620.5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2898.83</v>
      </c>
      <c r="E27" s="129">
        <f t="shared" si="3"/>
        <v>58488.83</v>
      </c>
      <c r="F27" s="129">
        <v>3358.28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4093.3</v>
      </c>
      <c r="E28" s="129">
        <f t="shared" si="3"/>
        <v>31418.3</v>
      </c>
      <c r="F28" s="129">
        <v>24190.9</v>
      </c>
      <c r="G28" s="129">
        <v>0</v>
      </c>
      <c r="H28" s="130">
        <f t="shared" si="0"/>
        <v>7227.3999999999978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-2956.1</v>
      </c>
      <c r="E30" s="129">
        <f t="shared" si="3"/>
        <v>22148.9</v>
      </c>
      <c r="F30" s="129">
        <v>9103.94</v>
      </c>
      <c r="G30" s="129">
        <v>0</v>
      </c>
      <c r="H30" s="130">
        <f t="shared" si="0"/>
        <v>13044.960000000001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/>
      <c r="E31" s="129">
        <f t="shared" si="3"/>
        <v>17645</v>
      </c>
      <c r="F31" s="129">
        <v>0</v>
      </c>
      <c r="G31" s="129">
        <v>0</v>
      </c>
      <c r="H31" s="130">
        <f t="shared" si="0"/>
        <v>17645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36</v>
      </c>
      <c r="E36" s="129">
        <f t="shared" si="3"/>
        <v>1096</v>
      </c>
      <c r="F36" s="129">
        <v>36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90</v>
      </c>
      <c r="G39" s="129">
        <v>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/>
      <c r="E40" s="129">
        <f t="shared" si="3"/>
        <v>2414</v>
      </c>
      <c r="F40" s="129">
        <v>0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-414435.46</v>
      </c>
      <c r="E42" s="129">
        <f t="shared" si="3"/>
        <v>573489.54</v>
      </c>
      <c r="F42" s="129">
        <v>510513</v>
      </c>
      <c r="G42" s="129">
        <v>0</v>
      </c>
      <c r="H42" s="140">
        <f t="shared" si="0"/>
        <v>62976.540000000037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-409422.15</v>
      </c>
      <c r="E43" s="141">
        <f>SUM(E25:E42)</f>
        <v>837681.85000000009</v>
      </c>
      <c r="F43" s="141">
        <f>SUM(F25:F42)</f>
        <v>637330.38</v>
      </c>
      <c r="G43" s="141">
        <f>SUM(G25:G42)</f>
        <v>0</v>
      </c>
      <c r="H43" s="142">
        <f t="shared" si="0"/>
        <v>200351.47000000009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 t="shared" ref="E48:E51" si="4">+C48+D48</f>
        <v>196020</v>
      </c>
      <c r="F48" s="129">
        <v>37402.97</v>
      </c>
      <c r="G48" s="129">
        <v>0</v>
      </c>
      <c r="H48" s="146">
        <f t="shared" si="0"/>
        <v>158617.03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 t="shared" si="4"/>
        <v>42600</v>
      </c>
      <c r="F49" s="129">
        <v>4362.8100000000004</v>
      </c>
      <c r="G49" s="129">
        <v>0</v>
      </c>
      <c r="H49" s="130">
        <f t="shared" si="0"/>
        <v>38237.19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 t="shared" si="4"/>
        <v>148356.64000000001</v>
      </c>
      <c r="F50" s="129">
        <v>69469.539999999994</v>
      </c>
      <c r="G50" s="129">
        <v>0</v>
      </c>
      <c r="H50" s="140">
        <f t="shared" si="0"/>
        <v>78887.10000000002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 t="shared" si="4"/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111235.31999999999</v>
      </c>
      <c r="G52" s="134">
        <f>SUM(G48:G51)</f>
        <v>0</v>
      </c>
      <c r="H52" s="148">
        <f t="shared" si="0"/>
        <v>276941.32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5">+C53+D53</f>
        <v>32600</v>
      </c>
      <c r="F53" s="129">
        <v>22518.65</v>
      </c>
      <c r="G53" s="129">
        <v>0</v>
      </c>
      <c r="H53" s="147">
        <f t="shared" si="0"/>
        <v>10081.349999999999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5"/>
        <v>63000</v>
      </c>
      <c r="F54" s="129">
        <v>43885.68</v>
      </c>
      <c r="G54" s="129">
        <v>0</v>
      </c>
      <c r="H54" s="130">
        <f t="shared" si="0"/>
        <v>19114.32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5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-4655.05</v>
      </c>
      <c r="E56" s="129">
        <f t="shared" si="5"/>
        <v>39944.949999999997</v>
      </c>
      <c r="F56" s="129">
        <v>0</v>
      </c>
      <c r="G56" s="129">
        <v>0</v>
      </c>
      <c r="H56" s="147">
        <f t="shared" si="0"/>
        <v>39944.949999999997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5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5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5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5"/>
        <v>36494</v>
      </c>
      <c r="F60" s="129">
        <v>2200</v>
      </c>
      <c r="G60" s="129">
        <v>0</v>
      </c>
      <c r="H60" s="147">
        <f t="shared" si="0"/>
        <v>34294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5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5"/>
        <v>25000</v>
      </c>
      <c r="F62" s="129">
        <v>8188.75</v>
      </c>
      <c r="G62" s="129">
        <v>0</v>
      </c>
      <c r="H62" s="147">
        <f t="shared" si="0"/>
        <v>16811.25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5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5"/>
        <v>53006.86</v>
      </c>
      <c r="F64" s="129">
        <v>43875.58</v>
      </c>
      <c r="G64" s="129">
        <v>0</v>
      </c>
      <c r="H64" s="147">
        <f t="shared" si="0"/>
        <v>9131.2799999999988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4759.6600000000008</v>
      </c>
      <c r="E65" s="134">
        <f>SUM(E53:E64)</f>
        <v>901429.66</v>
      </c>
      <c r="F65" s="134">
        <f>SUM(F53:F64)</f>
        <v>717231.83</v>
      </c>
      <c r="G65" s="134">
        <f>SUM(G53:G64)</f>
        <v>0</v>
      </c>
      <c r="H65" s="148">
        <f t="shared" si="0"/>
        <v>184197.83000000007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 t="shared" ref="E66:E68" si="6"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 t="shared" si="6"/>
        <v>11511</v>
      </c>
      <c r="F67" s="129">
        <v>1574</v>
      </c>
      <c r="G67" s="129">
        <v>0</v>
      </c>
      <c r="H67" s="147">
        <f t="shared" si="0"/>
        <v>9937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 t="shared" si="6"/>
        <v>21325</v>
      </c>
      <c r="F68" s="129">
        <v>6325</v>
      </c>
      <c r="G68" s="129">
        <v>0</v>
      </c>
      <c r="H68" s="147">
        <f t="shared" si="0"/>
        <v>15000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11531.4</v>
      </c>
      <c r="G69" s="134">
        <f>SUM(G66:G68)</f>
        <v>0</v>
      </c>
      <c r="H69" s="148">
        <f t="shared" si="0"/>
        <v>32937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 t="shared" ref="E70:E71" si="7"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 t="shared" si="7"/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-414912.74000000005</v>
      </c>
      <c r="E73" s="135">
        <f>+E72+E69+E65+E52+E43</f>
        <v>2244951.2600000002</v>
      </c>
      <c r="F73" s="136">
        <f>+F72+F69+F65+F52+F43</f>
        <v>1477403.93</v>
      </c>
      <c r="G73" s="149">
        <f>+G72+G69+G65+G52+G43</f>
        <v>0</v>
      </c>
      <c r="H73" s="150">
        <f t="shared" si="0"/>
        <v>767547.33000000031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0</v>
      </c>
      <c r="E74" s="129">
        <f>+C74+D74</f>
        <v>4710</v>
      </c>
      <c r="F74" s="129">
        <v>2992.72</v>
      </c>
      <c r="G74" s="129">
        <v>0</v>
      </c>
      <c r="H74" s="147">
        <f t="shared" ref="H74:H100" si="8">+E74-F74-G74</f>
        <v>1717.2800000000002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0</v>
      </c>
      <c r="E75" s="134">
        <f>SUM(E74)</f>
        <v>4710</v>
      </c>
      <c r="F75" s="134">
        <f>SUM(F74)</f>
        <v>2992.72</v>
      </c>
      <c r="G75" s="134">
        <f>SUM(G74)</f>
        <v>0</v>
      </c>
      <c r="H75" s="147">
        <f t="shared" si="8"/>
        <v>1717.2800000000002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 t="shared" ref="E76:E78" si="9">+C76+D76</f>
        <v>36024.28</v>
      </c>
      <c r="F76" s="129">
        <v>36024.28</v>
      </c>
      <c r="G76" s="129">
        <v>0</v>
      </c>
      <c r="H76" s="147">
        <f t="shared" si="8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13004.99</v>
      </c>
      <c r="E77" s="129">
        <f t="shared" si="9"/>
        <v>39004.99</v>
      </c>
      <c r="F77" s="129">
        <v>39004.99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 t="shared" si="9"/>
        <v>25</v>
      </c>
      <c r="F78" s="129">
        <v>25</v>
      </c>
      <c r="G78" s="131">
        <v>0</v>
      </c>
      <c r="H78" s="147">
        <f t="shared" si="8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1029.2700000000004</v>
      </c>
      <c r="E79" s="134">
        <f>SUM(E76:E78)</f>
        <v>75054.26999999999</v>
      </c>
      <c r="F79" s="134">
        <f>SUM(F76:F78)</f>
        <v>75054.26999999999</v>
      </c>
      <c r="G79" s="134">
        <f>SUM(G76:G78)</f>
        <v>0</v>
      </c>
      <c r="H79" s="147">
        <f t="shared" si="8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1029.2700000000004</v>
      </c>
      <c r="E80" s="135">
        <f>+E79+E75</f>
        <v>79764.26999999999</v>
      </c>
      <c r="F80" s="136">
        <f>+F79+F75</f>
        <v>78046.989999999991</v>
      </c>
      <c r="G80" s="149">
        <f>+G75+G79</f>
        <v>0</v>
      </c>
      <c r="H80" s="150">
        <f t="shared" si="8"/>
        <v>1717.2799999999988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 t="shared" ref="E81:E82" si="10">+C81+D81</f>
        <v>4000</v>
      </c>
      <c r="F81" s="129"/>
      <c r="G81" s="131">
        <v>0</v>
      </c>
      <c r="H81" s="147">
        <f t="shared" si="8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 t="shared" si="10"/>
        <v>0</v>
      </c>
      <c r="F82" s="129">
        <v>0</v>
      </c>
      <c r="G82" s="131">
        <v>0</v>
      </c>
      <c r="H82" s="147">
        <f t="shared" si="8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8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8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8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>+C83+C85</f>
        <v>9500</v>
      </c>
      <c r="D86" s="153">
        <f t="shared" ref="D86:H86" si="11">+D83+D85</f>
        <v>0</v>
      </c>
      <c r="E86" s="154">
        <f t="shared" si="11"/>
        <v>9500</v>
      </c>
      <c r="F86" s="155">
        <f t="shared" si="11"/>
        <v>5242.17</v>
      </c>
      <c r="G86" s="156">
        <f t="shared" si="11"/>
        <v>0</v>
      </c>
      <c r="H86" s="157">
        <f t="shared" si="11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3922598.8099999996</v>
      </c>
      <c r="G102" s="171">
        <f>+G24+G73+G80+G101+G86</f>
        <v>112147.01000000001</v>
      </c>
      <c r="H102" s="172">
        <f>+E102-F102-G102</f>
        <v>6652658.1800000006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1.1811023622047245" right="0" top="0.98425196850393704" bottom="0.59055118110236227" header="0.31496062992125984" footer="0.31496062992125984"/>
  <pageSetup scale="9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abSelected="1" topLeftCell="A3" workbookViewId="0">
      <selection activeCell="F108" sqref="F108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28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28"/>
      <c r="H4" s="2"/>
      <c r="I4" s="1"/>
    </row>
    <row r="5" spans="1:9" ht="12.75" customHeight="1" x14ac:dyDescent="0.25">
      <c r="A5" s="2"/>
      <c r="B5" s="128"/>
      <c r="C5" s="128"/>
      <c r="D5" s="128"/>
      <c r="E5" s="128"/>
      <c r="F5" s="128"/>
      <c r="G5" s="128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27"/>
      <c r="B7" s="190" t="s">
        <v>83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1568589.94</v>
      </c>
      <c r="G10" s="129">
        <v>40803.339999999997</v>
      </c>
      <c r="H10" s="130">
        <f t="shared" ref="H10:H74" si="0">+E10-F10-G10</f>
        <v>3207586.72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444715.5</v>
      </c>
      <c r="G13" s="129">
        <v>53853.4</v>
      </c>
      <c r="H13" s="130">
        <f t="shared" si="0"/>
        <v>1068327.1400000001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93337.71</v>
      </c>
      <c r="G16" s="129">
        <v>13410.58</v>
      </c>
      <c r="H16" s="130">
        <f t="shared" si="0"/>
        <v>212896.71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24220.79</v>
      </c>
      <c r="G17" s="129">
        <v>3719</v>
      </c>
      <c r="H17" s="130">
        <f t="shared" si="0"/>
        <v>59748.280000000006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102933.18</v>
      </c>
      <c r="G18" s="129">
        <v>17003.3</v>
      </c>
      <c r="H18" s="130">
        <f t="shared" si="0"/>
        <v>239004.52000000002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32218.54</v>
      </c>
      <c r="G19" s="129">
        <v>6422.56</v>
      </c>
      <c r="H19" s="130">
        <f t="shared" si="0"/>
        <v>82798.28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15543.04</v>
      </c>
      <c r="G20" s="129">
        <v>0.36</v>
      </c>
      <c r="H20" s="130">
        <f t="shared" si="0"/>
        <v>31086.6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27667.759999999998</v>
      </c>
      <c r="G23" s="129">
        <v>6432.24</v>
      </c>
      <c r="H23" s="130">
        <f t="shared" si="0"/>
        <v>37350.000000000007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2362830.7199999997</v>
      </c>
      <c r="G24" s="137">
        <f t="shared" si="2"/>
        <v>141652.51999999996</v>
      </c>
      <c r="H24" s="138">
        <f t="shared" si="2"/>
        <v>5812150.2299999995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2690.8</v>
      </c>
      <c r="G27" s="129">
        <v>0</v>
      </c>
      <c r="H27" s="130">
        <f t="shared" si="0"/>
        <v>55805.43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-2454.6999999999998</v>
      </c>
      <c r="E30" s="129">
        <f t="shared" si="3"/>
        <v>22650.3</v>
      </c>
      <c r="F30" s="129">
        <v>9605.34</v>
      </c>
      <c r="G30" s="129">
        <v>0</v>
      </c>
      <c r="H30" s="130">
        <f t="shared" si="0"/>
        <v>13044.96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1178.0999999999999</v>
      </c>
      <c r="E31" s="129">
        <f t="shared" si="3"/>
        <v>18823.099999999999</v>
      </c>
      <c r="F31" s="129">
        <v>203.4</v>
      </c>
      <c r="G31" s="129">
        <v>0</v>
      </c>
      <c r="H31" s="130">
        <f t="shared" si="0"/>
        <v>18619.699999999997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1422</v>
      </c>
      <c r="E36" s="129">
        <f t="shared" si="3"/>
        <v>2482</v>
      </c>
      <c r="F36" s="129">
        <v>1422</v>
      </c>
      <c r="G36" s="129">
        <v>0</v>
      </c>
      <c r="H36" s="130">
        <f t="shared" si="0"/>
        <v>1060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-417683.47</v>
      </c>
      <c r="E42" s="129">
        <f t="shared" si="3"/>
        <v>570241.53</v>
      </c>
      <c r="F42" s="129">
        <v>510545.23</v>
      </c>
      <c r="G42" s="129">
        <v>0</v>
      </c>
      <c r="H42" s="140">
        <f t="shared" si="0"/>
        <v>59696.300000000047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-409422.14999999997</v>
      </c>
      <c r="E43" s="141">
        <f>SUM(E25:E42)</f>
        <v>837681.85000000009</v>
      </c>
      <c r="F43" s="141">
        <f>SUM(F25:F42)</f>
        <v>637264.53999999992</v>
      </c>
      <c r="G43" s="141">
        <f>SUM(G25:G42)</f>
        <v>90</v>
      </c>
      <c r="H43" s="142">
        <f t="shared" si="0"/>
        <v>200327.31000000017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x14ac:dyDescent="0.25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21"/>
      <c r="B47" s="22"/>
      <c r="C47" s="143"/>
      <c r="D47" s="143"/>
      <c r="E47" s="143"/>
      <c r="F47" s="143"/>
      <c r="G47" s="143"/>
      <c r="H47" s="144"/>
    </row>
    <row r="48" spans="1:12" ht="12.75" customHeight="1" thickBot="1" x14ac:dyDescent="0.3">
      <c r="A48" s="3" t="s">
        <v>5</v>
      </c>
      <c r="B48" s="4" t="s">
        <v>6</v>
      </c>
      <c r="C48" s="23" t="s">
        <v>7</v>
      </c>
      <c r="D48" s="5" t="s">
        <v>8</v>
      </c>
      <c r="E48" s="63" t="s">
        <v>44</v>
      </c>
      <c r="F48" s="64" t="s">
        <v>10</v>
      </c>
      <c r="G48" s="24" t="s">
        <v>11</v>
      </c>
      <c r="H48" s="36" t="s">
        <v>12</v>
      </c>
    </row>
    <row r="49" spans="1:8" ht="12.75" customHeight="1" x14ac:dyDescent="0.25">
      <c r="A49" s="25">
        <v>54201</v>
      </c>
      <c r="B49" s="26" t="s">
        <v>45</v>
      </c>
      <c r="C49" s="145">
        <v>197345</v>
      </c>
      <c r="D49" s="145">
        <v>-1325</v>
      </c>
      <c r="E49" s="129">
        <f t="shared" ref="E49:E52" si="4">+C49+D49</f>
        <v>196020</v>
      </c>
      <c r="F49" s="129">
        <v>48165.66</v>
      </c>
      <c r="G49" s="129">
        <v>0</v>
      </c>
      <c r="H49" s="146">
        <f t="shared" si="0"/>
        <v>147854.34</v>
      </c>
    </row>
    <row r="50" spans="1:8" ht="12.75" customHeight="1" x14ac:dyDescent="0.25">
      <c r="A50" s="11">
        <v>54202</v>
      </c>
      <c r="B50" s="12" t="s">
        <v>46</v>
      </c>
      <c r="C50" s="131">
        <v>42600</v>
      </c>
      <c r="D50" s="131">
        <v>0</v>
      </c>
      <c r="E50" s="129">
        <f t="shared" si="4"/>
        <v>42600</v>
      </c>
      <c r="F50" s="129">
        <v>4534.6499999999996</v>
      </c>
      <c r="G50" s="129">
        <v>0</v>
      </c>
      <c r="H50" s="130">
        <f t="shared" si="0"/>
        <v>38065.35</v>
      </c>
    </row>
    <row r="51" spans="1:8" ht="12.75" customHeight="1" x14ac:dyDescent="0.25">
      <c r="A51" s="17">
        <v>54203</v>
      </c>
      <c r="B51" s="18" t="s">
        <v>47</v>
      </c>
      <c r="C51" s="139">
        <v>146650</v>
      </c>
      <c r="D51" s="139">
        <v>1706.64</v>
      </c>
      <c r="E51" s="129">
        <f t="shared" si="4"/>
        <v>148356.64000000001</v>
      </c>
      <c r="F51" s="129">
        <v>68667.94</v>
      </c>
      <c r="G51" s="129">
        <v>0</v>
      </c>
      <c r="H51" s="140">
        <f t="shared" si="0"/>
        <v>79688.700000000012</v>
      </c>
    </row>
    <row r="52" spans="1:8" ht="12.75" customHeight="1" x14ac:dyDescent="0.25">
      <c r="A52" s="11">
        <v>54204</v>
      </c>
      <c r="B52" s="12" t="s">
        <v>48</v>
      </c>
      <c r="C52" s="131">
        <v>1200</v>
      </c>
      <c r="D52" s="131">
        <v>0</v>
      </c>
      <c r="E52" s="129">
        <f t="shared" si="4"/>
        <v>1200</v>
      </c>
      <c r="F52" s="129">
        <v>0</v>
      </c>
      <c r="G52" s="129">
        <v>0</v>
      </c>
      <c r="H52" s="147">
        <f t="shared" si="0"/>
        <v>1200</v>
      </c>
    </row>
    <row r="53" spans="1:8" ht="12.75" customHeight="1" x14ac:dyDescent="0.25">
      <c r="A53" s="27"/>
      <c r="B53" s="14" t="s">
        <v>43</v>
      </c>
      <c r="C53" s="134">
        <f>SUM(C49:C52)</f>
        <v>387795</v>
      </c>
      <c r="D53" s="134">
        <f>SUM(D49:D52)</f>
        <v>381.6400000000001</v>
      </c>
      <c r="E53" s="134">
        <f>SUM(E49:E52)</f>
        <v>388176.64000000001</v>
      </c>
      <c r="F53" s="134">
        <f>SUM(F49:F52)</f>
        <v>121368.25</v>
      </c>
      <c r="G53" s="134">
        <f>SUM(G49:G52)</f>
        <v>0</v>
      </c>
      <c r="H53" s="148">
        <f t="shared" si="0"/>
        <v>266808.39</v>
      </c>
    </row>
    <row r="54" spans="1:8" ht="12.75" customHeight="1" x14ac:dyDescent="0.25">
      <c r="A54" s="11">
        <v>54301</v>
      </c>
      <c r="B54" s="12" t="s">
        <v>49</v>
      </c>
      <c r="C54" s="131">
        <v>32600</v>
      </c>
      <c r="D54" s="131">
        <v>0</v>
      </c>
      <c r="E54" s="129">
        <f t="shared" ref="E54:E65" si="5">+C54+D54</f>
        <v>32600</v>
      </c>
      <c r="F54" s="129">
        <v>21188.65</v>
      </c>
      <c r="G54" s="129">
        <v>0</v>
      </c>
      <c r="H54" s="147">
        <f t="shared" si="0"/>
        <v>11411.349999999999</v>
      </c>
    </row>
    <row r="55" spans="1:8" ht="12.75" customHeight="1" x14ac:dyDescent="0.25">
      <c r="A55" s="9">
        <v>54302</v>
      </c>
      <c r="B55" s="10" t="s">
        <v>50</v>
      </c>
      <c r="C55" s="129">
        <v>63000</v>
      </c>
      <c r="D55" s="129">
        <v>0</v>
      </c>
      <c r="E55" s="129">
        <f t="shared" si="5"/>
        <v>63000</v>
      </c>
      <c r="F55" s="129">
        <v>42580.59</v>
      </c>
      <c r="G55" s="129">
        <v>0</v>
      </c>
      <c r="H55" s="130">
        <f t="shared" si="0"/>
        <v>20419.410000000003</v>
      </c>
    </row>
    <row r="56" spans="1:8" ht="12.75" customHeight="1" x14ac:dyDescent="0.25">
      <c r="A56" s="11">
        <v>54304</v>
      </c>
      <c r="B56" s="12" t="s">
        <v>51</v>
      </c>
      <c r="C56" s="131">
        <v>4500</v>
      </c>
      <c r="D56" s="131">
        <v>0</v>
      </c>
      <c r="E56" s="129">
        <f t="shared" si="5"/>
        <v>4500</v>
      </c>
      <c r="F56" s="129">
        <v>0</v>
      </c>
      <c r="G56" s="129">
        <v>0</v>
      </c>
      <c r="H56" s="147">
        <f t="shared" si="0"/>
        <v>4500</v>
      </c>
    </row>
    <row r="57" spans="1:8" ht="12.75" customHeight="1" x14ac:dyDescent="0.25">
      <c r="A57" s="11">
        <v>54305</v>
      </c>
      <c r="B57" s="12" t="s">
        <v>52</v>
      </c>
      <c r="C57" s="131">
        <v>44600</v>
      </c>
      <c r="D57" s="131">
        <v>-4655.05</v>
      </c>
      <c r="E57" s="129">
        <f t="shared" si="5"/>
        <v>39944.949999999997</v>
      </c>
      <c r="F57" s="129">
        <v>565</v>
      </c>
      <c r="G57" s="129">
        <v>0</v>
      </c>
      <c r="H57" s="147">
        <f t="shared" si="0"/>
        <v>39379.949999999997</v>
      </c>
    </row>
    <row r="58" spans="1:8" ht="12.75" customHeight="1" x14ac:dyDescent="0.25">
      <c r="A58" s="11">
        <v>54306</v>
      </c>
      <c r="B58" s="12" t="s">
        <v>53</v>
      </c>
      <c r="C58" s="131">
        <v>4300</v>
      </c>
      <c r="D58" s="131">
        <v>70</v>
      </c>
      <c r="E58" s="129">
        <f t="shared" si="5"/>
        <v>4370</v>
      </c>
      <c r="F58" s="129">
        <v>4320</v>
      </c>
      <c r="G58" s="129">
        <v>0</v>
      </c>
      <c r="H58" s="147">
        <f t="shared" si="0"/>
        <v>50</v>
      </c>
    </row>
    <row r="59" spans="1:8" ht="12.75" customHeight="1" x14ac:dyDescent="0.25">
      <c r="A59" s="11">
        <v>54307</v>
      </c>
      <c r="B59" s="12" t="s">
        <v>54</v>
      </c>
      <c r="C59" s="131">
        <v>6500</v>
      </c>
      <c r="D59" s="131">
        <v>420</v>
      </c>
      <c r="E59" s="129">
        <f t="shared" si="5"/>
        <v>6920</v>
      </c>
      <c r="F59" s="129">
        <v>6450</v>
      </c>
      <c r="G59" s="129">
        <v>0</v>
      </c>
      <c r="H59" s="147">
        <f t="shared" si="0"/>
        <v>470</v>
      </c>
    </row>
    <row r="60" spans="1:8" ht="12.75" customHeight="1" x14ac:dyDescent="0.25">
      <c r="A60" s="11">
        <v>54308</v>
      </c>
      <c r="B60" s="12" t="s">
        <v>55</v>
      </c>
      <c r="C60" s="131">
        <v>500</v>
      </c>
      <c r="D60" s="131">
        <v>0</v>
      </c>
      <c r="E60" s="129">
        <f t="shared" si="5"/>
        <v>500</v>
      </c>
      <c r="F60" s="129">
        <v>0</v>
      </c>
      <c r="G60" s="129"/>
      <c r="H60" s="147">
        <f t="shared" si="0"/>
        <v>500</v>
      </c>
    </row>
    <row r="61" spans="1:8" ht="12.75" customHeight="1" x14ac:dyDescent="0.25">
      <c r="A61" s="11">
        <v>54313</v>
      </c>
      <c r="B61" s="12" t="s">
        <v>56</v>
      </c>
      <c r="C61" s="131">
        <v>37130</v>
      </c>
      <c r="D61" s="131">
        <v>-636</v>
      </c>
      <c r="E61" s="129">
        <f t="shared" si="5"/>
        <v>36494</v>
      </c>
      <c r="F61" s="129">
        <v>0</v>
      </c>
      <c r="G61" s="129">
        <v>0</v>
      </c>
      <c r="H61" s="147">
        <f t="shared" si="0"/>
        <v>36494</v>
      </c>
    </row>
    <row r="62" spans="1:8" ht="12.75" customHeight="1" x14ac:dyDescent="0.25">
      <c r="A62" s="11">
        <v>54314</v>
      </c>
      <c r="B62" s="12" t="s">
        <v>57</v>
      </c>
      <c r="C62" s="131">
        <v>35810</v>
      </c>
      <c r="D62" s="131">
        <v>-586.15</v>
      </c>
      <c r="E62" s="129">
        <f t="shared" si="5"/>
        <v>35223.85</v>
      </c>
      <c r="F62" s="129">
        <v>728.25</v>
      </c>
      <c r="G62" s="129">
        <v>0</v>
      </c>
      <c r="H62" s="147">
        <f t="shared" si="0"/>
        <v>34495.599999999999</v>
      </c>
    </row>
    <row r="63" spans="1:8" ht="12.75" customHeight="1" x14ac:dyDescent="0.25">
      <c r="A63" s="11">
        <v>54316</v>
      </c>
      <c r="B63" s="12" t="s">
        <v>58</v>
      </c>
      <c r="C63" s="131">
        <v>25000</v>
      </c>
      <c r="D63" s="131">
        <v>0</v>
      </c>
      <c r="E63" s="129">
        <f t="shared" si="5"/>
        <v>25000</v>
      </c>
      <c r="F63" s="129">
        <v>8188.75</v>
      </c>
      <c r="G63" s="129">
        <v>0</v>
      </c>
      <c r="H63" s="147">
        <f t="shared" si="0"/>
        <v>16811.25</v>
      </c>
    </row>
    <row r="64" spans="1:8" ht="12.75" customHeight="1" x14ac:dyDescent="0.25">
      <c r="A64" s="11">
        <v>54317</v>
      </c>
      <c r="B64" s="12" t="s">
        <v>59</v>
      </c>
      <c r="C64" s="131">
        <v>598270</v>
      </c>
      <c r="D64" s="131">
        <v>1600</v>
      </c>
      <c r="E64" s="129">
        <f t="shared" si="5"/>
        <v>599870</v>
      </c>
      <c r="F64" s="129">
        <v>584080.92000000004</v>
      </c>
      <c r="G64" s="129">
        <v>0</v>
      </c>
      <c r="H64" s="147">
        <f t="shared" si="0"/>
        <v>15789.079999999958</v>
      </c>
    </row>
    <row r="65" spans="1:9" ht="12.75" customHeight="1" x14ac:dyDescent="0.25">
      <c r="A65" s="11">
        <v>54399</v>
      </c>
      <c r="B65" s="12" t="s">
        <v>60</v>
      </c>
      <c r="C65" s="131">
        <v>44460</v>
      </c>
      <c r="D65" s="131">
        <v>8546.86</v>
      </c>
      <c r="E65" s="129">
        <f t="shared" si="5"/>
        <v>53006.86</v>
      </c>
      <c r="F65" s="129">
        <v>43740.06</v>
      </c>
      <c r="G65" s="129">
        <v>0</v>
      </c>
      <c r="H65" s="147">
        <f t="shared" si="0"/>
        <v>9266.8000000000029</v>
      </c>
    </row>
    <row r="66" spans="1:9" ht="12.75" customHeight="1" x14ac:dyDescent="0.25">
      <c r="A66" s="27"/>
      <c r="B66" s="14" t="s">
        <v>43</v>
      </c>
      <c r="C66" s="134">
        <f>SUM(C54:C65)</f>
        <v>896670</v>
      </c>
      <c r="D66" s="134">
        <f>SUM(D54:D65)</f>
        <v>4759.6600000000008</v>
      </c>
      <c r="E66" s="134">
        <f>SUM(E54:E65)</f>
        <v>901429.66</v>
      </c>
      <c r="F66" s="134">
        <f>SUM(F54:F65)</f>
        <v>711842.22</v>
      </c>
      <c r="G66" s="134">
        <f>SUM(G54:G65)</f>
        <v>0</v>
      </c>
      <c r="H66" s="148">
        <f t="shared" si="0"/>
        <v>189587.44000000006</v>
      </c>
    </row>
    <row r="67" spans="1:9" ht="12.75" customHeight="1" x14ac:dyDescent="0.25">
      <c r="A67" s="11">
        <v>54402</v>
      </c>
      <c r="B67" s="12" t="s">
        <v>61</v>
      </c>
      <c r="C67" s="131">
        <v>11035</v>
      </c>
      <c r="D67" s="131">
        <v>597.4</v>
      </c>
      <c r="E67" s="129">
        <f t="shared" ref="E67:E69" si="6">+C67+D67</f>
        <v>11632.4</v>
      </c>
      <c r="F67" s="129">
        <v>3632.4</v>
      </c>
      <c r="G67" s="131">
        <v>0</v>
      </c>
      <c r="H67" s="147">
        <f t="shared" si="0"/>
        <v>8000</v>
      </c>
    </row>
    <row r="68" spans="1:9" ht="12.75" customHeight="1" x14ac:dyDescent="0.25">
      <c r="A68" s="11">
        <v>54403</v>
      </c>
      <c r="B68" s="12" t="s">
        <v>62</v>
      </c>
      <c r="C68" s="131">
        <v>11460</v>
      </c>
      <c r="D68" s="131">
        <v>51</v>
      </c>
      <c r="E68" s="129">
        <f t="shared" si="6"/>
        <v>11511</v>
      </c>
      <c r="F68" s="129">
        <v>1716</v>
      </c>
      <c r="G68" s="129">
        <v>0</v>
      </c>
      <c r="H68" s="147">
        <f t="shared" si="0"/>
        <v>9795</v>
      </c>
    </row>
    <row r="69" spans="1:9" ht="12.75" customHeight="1" x14ac:dyDescent="0.25">
      <c r="A69" s="11">
        <v>54404</v>
      </c>
      <c r="B69" s="12" t="s">
        <v>63</v>
      </c>
      <c r="C69" s="131">
        <v>20000</v>
      </c>
      <c r="D69" s="131">
        <v>1325</v>
      </c>
      <c r="E69" s="129">
        <f t="shared" si="6"/>
        <v>21325</v>
      </c>
      <c r="F69" s="129">
        <v>2235</v>
      </c>
      <c r="G69" s="129">
        <v>0</v>
      </c>
      <c r="H69" s="147">
        <f t="shared" si="0"/>
        <v>19090</v>
      </c>
    </row>
    <row r="70" spans="1:9" ht="12.75" customHeight="1" x14ac:dyDescent="0.25">
      <c r="A70" s="27"/>
      <c r="B70" s="14" t="s">
        <v>43</v>
      </c>
      <c r="C70" s="134">
        <f>SUM(C67:C69)</f>
        <v>42495</v>
      </c>
      <c r="D70" s="134">
        <f>SUM(D67:D69)</f>
        <v>1973.4</v>
      </c>
      <c r="E70" s="134">
        <f>SUM(E67:E69)</f>
        <v>44468.4</v>
      </c>
      <c r="F70" s="134">
        <f>SUM(F67:F69)</f>
        <v>7583.4</v>
      </c>
      <c r="G70" s="134">
        <f>SUM(G67:G69)</f>
        <v>0</v>
      </c>
      <c r="H70" s="148">
        <f t="shared" si="0"/>
        <v>36885</v>
      </c>
    </row>
    <row r="71" spans="1:9" ht="12.75" customHeight="1" x14ac:dyDescent="0.25">
      <c r="A71" s="11">
        <v>54505</v>
      </c>
      <c r="B71" s="12" t="s">
        <v>64</v>
      </c>
      <c r="C71" s="131">
        <v>7000</v>
      </c>
      <c r="D71" s="131">
        <v>75</v>
      </c>
      <c r="E71" s="129">
        <f t="shared" ref="E71:E72" si="7">+C71+D71</f>
        <v>7075</v>
      </c>
      <c r="F71" s="129">
        <v>75</v>
      </c>
      <c r="G71" s="129">
        <v>0</v>
      </c>
      <c r="H71" s="147">
        <f t="shared" si="0"/>
        <v>7000</v>
      </c>
    </row>
    <row r="72" spans="1:9" ht="12.75" customHeight="1" x14ac:dyDescent="0.25">
      <c r="A72" s="11">
        <v>54599</v>
      </c>
      <c r="B72" s="12" t="s">
        <v>65</v>
      </c>
      <c r="C72" s="131">
        <v>78800</v>
      </c>
      <c r="D72" s="131">
        <v>-12680.29</v>
      </c>
      <c r="E72" s="129">
        <f t="shared" si="7"/>
        <v>66119.709999999992</v>
      </c>
      <c r="F72" s="129">
        <v>0</v>
      </c>
      <c r="G72" s="129">
        <v>0</v>
      </c>
      <c r="H72" s="147">
        <f t="shared" si="0"/>
        <v>66119.709999999992</v>
      </c>
    </row>
    <row r="73" spans="1:9" ht="12.75" customHeight="1" x14ac:dyDescent="0.25">
      <c r="A73" s="27"/>
      <c r="B73" s="14" t="s">
        <v>43</v>
      </c>
      <c r="C73" s="134">
        <f>SUM(C71:C72)</f>
        <v>85800</v>
      </c>
      <c r="D73" s="134">
        <f>SUM(D71:D72)</f>
        <v>-12605.29</v>
      </c>
      <c r="E73" s="134">
        <f>SUM(E71:E72)</f>
        <v>73194.709999999992</v>
      </c>
      <c r="F73" s="134">
        <f>SUM(F71:F72)</f>
        <v>75</v>
      </c>
      <c r="G73" s="134">
        <f>SUM(G71:G72)</f>
        <v>0</v>
      </c>
      <c r="H73" s="147">
        <f t="shared" si="0"/>
        <v>73119.709999999992</v>
      </c>
    </row>
    <row r="74" spans="1:9" ht="12.75" customHeight="1" x14ac:dyDescent="0.25">
      <c r="A74" s="28"/>
      <c r="B74" s="14" t="s">
        <v>24</v>
      </c>
      <c r="C74" s="134">
        <f>+C73+C70+C66+C53+C43</f>
        <v>2659864</v>
      </c>
      <c r="D74" s="134">
        <f>+D73+D70+D66+D53+D43</f>
        <v>-414912.74</v>
      </c>
      <c r="E74" s="135">
        <f>+E73+E70+E66+E53+E43</f>
        <v>2244951.2600000002</v>
      </c>
      <c r="F74" s="136">
        <f>+F73+F70+F66+F53+F43</f>
        <v>1478133.41</v>
      </c>
      <c r="G74" s="149">
        <f>+G73+G70+G66+G53+G43</f>
        <v>90</v>
      </c>
      <c r="H74" s="150">
        <f t="shared" si="0"/>
        <v>766727.85000000033</v>
      </c>
    </row>
    <row r="75" spans="1:9" ht="12.75" customHeight="1" x14ac:dyDescent="0.25">
      <c r="A75" s="11">
        <v>55599</v>
      </c>
      <c r="B75" s="12" t="s">
        <v>66</v>
      </c>
      <c r="C75" s="131">
        <v>4710</v>
      </c>
      <c r="D75" s="131">
        <v>0</v>
      </c>
      <c r="E75" s="129">
        <f>+C75+D75</f>
        <v>4710</v>
      </c>
      <c r="F75" s="129">
        <v>3161.75</v>
      </c>
      <c r="G75" s="129">
        <v>0</v>
      </c>
      <c r="H75" s="147">
        <f t="shared" ref="H75:H100" si="8">+E75-F75-G75</f>
        <v>1548.25</v>
      </c>
    </row>
    <row r="76" spans="1:9" ht="12.75" customHeight="1" x14ac:dyDescent="0.25">
      <c r="A76" s="27"/>
      <c r="B76" s="14" t="s">
        <v>43</v>
      </c>
      <c r="C76" s="134">
        <f>SUM(C75)</f>
        <v>4710</v>
      </c>
      <c r="D76" s="134">
        <f>SUM(D75)</f>
        <v>0</v>
      </c>
      <c r="E76" s="134">
        <f>SUM(E75)</f>
        <v>4710</v>
      </c>
      <c r="F76" s="134">
        <f>SUM(F75)</f>
        <v>3161.75</v>
      </c>
      <c r="G76" s="134">
        <f>SUM(G75)</f>
        <v>0</v>
      </c>
      <c r="H76" s="147">
        <f t="shared" si="8"/>
        <v>1548.25</v>
      </c>
    </row>
    <row r="77" spans="1:9" ht="12.75" customHeight="1" x14ac:dyDescent="0.25">
      <c r="A77" s="11">
        <v>55601</v>
      </c>
      <c r="B77" s="12" t="s">
        <v>67</v>
      </c>
      <c r="C77" s="131">
        <v>48000</v>
      </c>
      <c r="D77" s="131">
        <v>-11975.72</v>
      </c>
      <c r="E77" s="129">
        <f t="shared" ref="E77:E79" si="9">+C77+D77</f>
        <v>36024.28</v>
      </c>
      <c r="F77" s="129">
        <v>36024.28</v>
      </c>
      <c r="G77" s="129">
        <v>0</v>
      </c>
      <c r="H77" s="147">
        <f t="shared" si="8"/>
        <v>0</v>
      </c>
    </row>
    <row r="78" spans="1:9" ht="12.75" customHeight="1" x14ac:dyDescent="0.25">
      <c r="A78" s="11">
        <v>55602</v>
      </c>
      <c r="B78" s="12" t="s">
        <v>68</v>
      </c>
      <c r="C78" s="131">
        <v>26000</v>
      </c>
      <c r="D78" s="131">
        <v>13004.99</v>
      </c>
      <c r="E78" s="129">
        <f t="shared" si="9"/>
        <v>39004.99</v>
      </c>
      <c r="F78" s="129">
        <v>39004.99</v>
      </c>
      <c r="G78" s="129">
        <v>0</v>
      </c>
      <c r="H78" s="147">
        <f t="shared" si="8"/>
        <v>0</v>
      </c>
    </row>
    <row r="79" spans="1:9" ht="12.75" customHeight="1" x14ac:dyDescent="0.25">
      <c r="A79" s="11">
        <v>55603</v>
      </c>
      <c r="B79" s="12" t="s">
        <v>69</v>
      </c>
      <c r="C79" s="131">
        <v>25</v>
      </c>
      <c r="D79" s="131">
        <v>0</v>
      </c>
      <c r="E79" s="129">
        <f t="shared" si="9"/>
        <v>25</v>
      </c>
      <c r="F79" s="129">
        <v>25</v>
      </c>
      <c r="G79" s="131">
        <v>0</v>
      </c>
      <c r="H79" s="147">
        <f t="shared" si="8"/>
        <v>0</v>
      </c>
    </row>
    <row r="80" spans="1:9" ht="12.75" customHeight="1" x14ac:dyDescent="0.25">
      <c r="A80" s="27"/>
      <c r="B80" s="14" t="s">
        <v>43</v>
      </c>
      <c r="C80" s="134">
        <f>SUM(C77:C79)</f>
        <v>74025</v>
      </c>
      <c r="D80" s="134">
        <f>SUM(D77:D78)</f>
        <v>1029.2700000000004</v>
      </c>
      <c r="E80" s="134">
        <f>SUM(E77:E79)</f>
        <v>75054.26999999999</v>
      </c>
      <c r="F80" s="134">
        <f>SUM(F77:F79)</f>
        <v>75054.26999999999</v>
      </c>
      <c r="G80" s="134">
        <f>SUM(G77:G79)</f>
        <v>0</v>
      </c>
      <c r="H80" s="147">
        <f t="shared" si="8"/>
        <v>0</v>
      </c>
      <c r="I80" s="29"/>
    </row>
    <row r="81" spans="1:9" ht="12.75" customHeight="1" x14ac:dyDescent="0.25">
      <c r="A81" s="28"/>
      <c r="B81" s="14" t="s">
        <v>24</v>
      </c>
      <c r="C81" s="134">
        <f>+C80+C76</f>
        <v>78735</v>
      </c>
      <c r="D81" s="134">
        <f>+D76+D80</f>
        <v>1029.2700000000004</v>
      </c>
      <c r="E81" s="135">
        <f>+E80+E76</f>
        <v>79764.26999999999</v>
      </c>
      <c r="F81" s="136">
        <f>+F80+F76</f>
        <v>78216.01999999999</v>
      </c>
      <c r="G81" s="149">
        <f>+G76+G80</f>
        <v>0</v>
      </c>
      <c r="H81" s="150">
        <f t="shared" si="8"/>
        <v>1548.25</v>
      </c>
      <c r="I81" s="29"/>
    </row>
    <row r="82" spans="1:9" s="31" customFormat="1" ht="12.75" customHeight="1" x14ac:dyDescent="0.25">
      <c r="A82" s="11">
        <v>56303</v>
      </c>
      <c r="B82" s="12" t="s">
        <v>70</v>
      </c>
      <c r="C82" s="131">
        <v>4000</v>
      </c>
      <c r="D82" s="131">
        <v>0</v>
      </c>
      <c r="E82" s="129">
        <f t="shared" ref="E82:E83" si="10">+C82+D82</f>
        <v>4000</v>
      </c>
      <c r="F82" s="129"/>
      <c r="G82" s="131">
        <v>0</v>
      </c>
      <c r="H82" s="147">
        <f t="shared" si="8"/>
        <v>4000</v>
      </c>
      <c r="I82" s="30"/>
    </row>
    <row r="83" spans="1:9" s="31" customFormat="1" ht="12.75" customHeight="1" x14ac:dyDescent="0.25">
      <c r="A83" s="11">
        <v>56304</v>
      </c>
      <c r="B83" s="12" t="s">
        <v>71</v>
      </c>
      <c r="C83" s="131">
        <v>0</v>
      </c>
      <c r="D83" s="131">
        <v>0</v>
      </c>
      <c r="E83" s="129">
        <f t="shared" si="10"/>
        <v>0</v>
      </c>
      <c r="F83" s="129">
        <v>0</v>
      </c>
      <c r="G83" s="131">
        <v>0</v>
      </c>
      <c r="H83" s="147">
        <f t="shared" si="8"/>
        <v>0</v>
      </c>
      <c r="I83" s="30"/>
    </row>
    <row r="84" spans="1:9" s="31" customFormat="1" ht="12.75" customHeight="1" x14ac:dyDescent="0.25">
      <c r="A84" s="27"/>
      <c r="B84" s="14" t="s">
        <v>43</v>
      </c>
      <c r="C84" s="134">
        <f>C83+C82</f>
        <v>4000</v>
      </c>
      <c r="D84" s="134">
        <f>SUM(D82:D83)</f>
        <v>0</v>
      </c>
      <c r="E84" s="134">
        <f>SUM(E82:E83)</f>
        <v>4000</v>
      </c>
      <c r="F84" s="134">
        <f>SUM(F82:F83)</f>
        <v>0</v>
      </c>
      <c r="G84" s="134">
        <f>SUM(G82)</f>
        <v>0</v>
      </c>
      <c r="H84" s="148">
        <f t="shared" si="8"/>
        <v>4000</v>
      </c>
      <c r="I84" s="30"/>
    </row>
    <row r="85" spans="1:9" s="31" customFormat="1" ht="12.75" customHeight="1" x14ac:dyDescent="0.25">
      <c r="A85" s="11"/>
      <c r="B85" s="12" t="s">
        <v>72</v>
      </c>
      <c r="C85" s="131">
        <v>5500</v>
      </c>
      <c r="D85" s="131">
        <v>0</v>
      </c>
      <c r="E85" s="129">
        <f>+C85+D85</f>
        <v>5500</v>
      </c>
      <c r="F85" s="129">
        <v>5242.17</v>
      </c>
      <c r="G85" s="131">
        <v>0</v>
      </c>
      <c r="H85" s="147">
        <f t="shared" si="8"/>
        <v>257.82999999999993</v>
      </c>
      <c r="I85" s="30"/>
    </row>
    <row r="86" spans="1:9" s="31" customFormat="1" ht="12.75" customHeight="1" thickBot="1" x14ac:dyDescent="0.3">
      <c r="A86" s="32"/>
      <c r="B86" s="33" t="s">
        <v>43</v>
      </c>
      <c r="C86" s="151">
        <f>SUM(C85)</f>
        <v>5500</v>
      </c>
      <c r="D86" s="151">
        <f>SUM(D85)</f>
        <v>0</v>
      </c>
      <c r="E86" s="151">
        <f>SUM(E85)</f>
        <v>5500</v>
      </c>
      <c r="F86" s="151">
        <f>SUM(F85)</f>
        <v>5242.17</v>
      </c>
      <c r="G86" s="151">
        <f>SUM(G85)</f>
        <v>0</v>
      </c>
      <c r="H86" s="152">
        <f t="shared" si="8"/>
        <v>257.82999999999993</v>
      </c>
      <c r="I86" s="30"/>
    </row>
    <row r="87" spans="1:9" s="31" customFormat="1" ht="12.75" customHeight="1" thickBot="1" x14ac:dyDescent="0.3">
      <c r="A87" s="34"/>
      <c r="B87" s="35" t="s">
        <v>24</v>
      </c>
      <c r="C87" s="153">
        <f>+C84+C86</f>
        <v>9500</v>
      </c>
      <c r="D87" s="153">
        <f t="shared" ref="D87:H87" si="11">+D84+D86</f>
        <v>0</v>
      </c>
      <c r="E87" s="154">
        <f t="shared" si="11"/>
        <v>9500</v>
      </c>
      <c r="F87" s="155">
        <f t="shared" si="11"/>
        <v>5242.17</v>
      </c>
      <c r="G87" s="156">
        <f t="shared" si="11"/>
        <v>0</v>
      </c>
      <c r="H87" s="157">
        <f t="shared" si="11"/>
        <v>4257.83</v>
      </c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12">+C92+D92</f>
        <v>2935</v>
      </c>
      <c r="F92" s="145">
        <v>0</v>
      </c>
      <c r="G92" s="158">
        <v>0</v>
      </c>
      <c r="H92" s="146">
        <f t="shared" si="8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12"/>
        <v>6760</v>
      </c>
      <c r="F93" s="129">
        <v>0</v>
      </c>
      <c r="G93" s="132">
        <v>0</v>
      </c>
      <c r="H93" s="147">
        <f t="shared" si="8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12"/>
        <v>500</v>
      </c>
      <c r="F94" s="129">
        <v>0</v>
      </c>
      <c r="G94" s="132">
        <v>0</v>
      </c>
      <c r="H94" s="147">
        <f t="shared" si="8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12"/>
        <v>16000</v>
      </c>
      <c r="F95" s="129">
        <v>0</v>
      </c>
      <c r="G95" s="132">
        <v>0</v>
      </c>
      <c r="H95" s="147">
        <f t="shared" si="8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12"/>
        <v>1000</v>
      </c>
      <c r="F96" s="129">
        <v>0</v>
      </c>
      <c r="G96" s="131">
        <v>0</v>
      </c>
      <c r="H96" s="147">
        <f t="shared" si="8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12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>SUM(C92:C97)</f>
        <v>27320</v>
      </c>
      <c r="D98" s="134">
        <f>SUM(D92:D97)</f>
        <v>0</v>
      </c>
      <c r="E98" s="134">
        <f>SUM(E92:E97)</f>
        <v>27320</v>
      </c>
      <c r="F98" s="134">
        <f>SUM(F92:F97)</f>
        <v>125</v>
      </c>
      <c r="G98" s="134">
        <f>SUM(G96)</f>
        <v>0</v>
      </c>
      <c r="H98" s="148">
        <f>SUM(H92:H97)</f>
        <v>27195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/>
      <c r="E99" s="129">
        <f>+C99+D99</f>
        <v>9235</v>
      </c>
      <c r="F99" s="131">
        <v>0</v>
      </c>
      <c r="G99" s="131">
        <v>0</v>
      </c>
      <c r="H99" s="147">
        <f t="shared" si="8"/>
        <v>9235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0</v>
      </c>
      <c r="E100" s="160">
        <f>+E99</f>
        <v>9235</v>
      </c>
      <c r="F100" s="160">
        <f>+F99</f>
        <v>0</v>
      </c>
      <c r="G100" s="160">
        <f>SUM(G99)</f>
        <v>0</v>
      </c>
      <c r="H100" s="161">
        <f t="shared" si="8"/>
        <v>9235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+C101+C87+C81+C74+C24</f>
        <v>10687404</v>
      </c>
      <c r="D102" s="168">
        <f>+D101+D87+D81+D74+D24</f>
        <v>0</v>
      </c>
      <c r="E102" s="169">
        <f>+E24+E74+E81+E101+E87</f>
        <v>10687404</v>
      </c>
      <c r="F102" s="170">
        <f>+F24+F74+F81+F101+F87</f>
        <v>3924547.32</v>
      </c>
      <c r="G102" s="171">
        <f>+G24+G74+G81+G101+G87</f>
        <v>141742.51999999996</v>
      </c>
      <c r="H102" s="172">
        <f>+E102-F102-G102</f>
        <v>6621114.1600000001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43" workbookViewId="0">
      <selection activeCell="D19" sqref="D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74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74"/>
      <c r="H4" s="2"/>
      <c r="I4" s="1"/>
    </row>
    <row r="5" spans="1:9" ht="12.75" customHeight="1" x14ac:dyDescent="0.25">
      <c r="A5" s="2"/>
      <c r="B5" s="174"/>
      <c r="C5" s="174"/>
      <c r="D5" s="174"/>
      <c r="E5" s="174"/>
      <c r="F5" s="174"/>
      <c r="G5" s="174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73"/>
      <c r="B7" s="190" t="s">
        <v>84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1962005.06</v>
      </c>
      <c r="G10" s="129">
        <v>48336.56</v>
      </c>
      <c r="H10" s="130">
        <f t="shared" ref="H10:H73" si="0">+E10-F10-G10</f>
        <v>2806638.38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/>
      <c r="G12" s="129">
        <v>0</v>
      </c>
      <c r="H12" s="130">
        <f t="shared" si="0"/>
        <v>503750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566250.07999999996</v>
      </c>
      <c r="G13" s="129">
        <v>65859.710000000006</v>
      </c>
      <c r="H13" s="130">
        <f t="shared" si="0"/>
        <v>934786.25000000012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/>
      <c r="G15" s="129">
        <v>0</v>
      </c>
      <c r="H15" s="130">
        <f t="shared" si="0"/>
        <v>139100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116802.6</v>
      </c>
      <c r="G16" s="129">
        <v>16557.77</v>
      </c>
      <c r="H16" s="130">
        <f t="shared" si="0"/>
        <v>186284.63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30778.67</v>
      </c>
      <c r="G17" s="129">
        <v>4629.6499999999996</v>
      </c>
      <c r="H17" s="130">
        <f t="shared" si="0"/>
        <v>52279.750000000007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128623.95</v>
      </c>
      <c r="G18" s="129">
        <v>21188.16</v>
      </c>
      <c r="H18" s="130">
        <f t="shared" si="0"/>
        <v>209128.88999999998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41022.35</v>
      </c>
      <c r="G19" s="129">
        <v>7968.66</v>
      </c>
      <c r="H19" s="130">
        <f t="shared" si="0"/>
        <v>72448.37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19428.8</v>
      </c>
      <c r="G20" s="129">
        <v>0.4</v>
      </c>
      <c r="H20" s="130">
        <f t="shared" si="0"/>
        <v>27200.799999999999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28717.759999999998</v>
      </c>
      <c r="G23" s="129">
        <v>6682.24</v>
      </c>
      <c r="H23" s="130">
        <f t="shared" si="0"/>
        <v>36050.000000000007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2947233.53</v>
      </c>
      <c r="G24" s="137">
        <f t="shared" si="2"/>
        <v>171230.88999999998</v>
      </c>
      <c r="H24" s="138">
        <f t="shared" si="2"/>
        <v>5198169.0499999989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1163.3599999999999</v>
      </c>
      <c r="E25" s="129">
        <f t="shared" ref="E25:E42" si="3">+C25+D25</f>
        <v>46633.36</v>
      </c>
      <c r="F25" s="129">
        <v>25519.86</v>
      </c>
      <c r="G25" s="129">
        <v>0</v>
      </c>
      <c r="H25" s="130">
        <f t="shared" si="0"/>
        <v>21113.5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0</v>
      </c>
      <c r="H26" s="130">
        <f t="shared" si="0"/>
        <v>1136.2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2906.23</v>
      </c>
      <c r="E27" s="129">
        <f t="shared" si="3"/>
        <v>58496.23</v>
      </c>
      <c r="F27" s="129">
        <v>3365.68</v>
      </c>
      <c r="G27" s="129">
        <v>0</v>
      </c>
      <c r="H27" s="130">
        <f t="shared" si="0"/>
        <v>55130.55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4101.3</v>
      </c>
      <c r="E28" s="129">
        <f t="shared" si="3"/>
        <v>31426.3</v>
      </c>
      <c r="F28" s="129">
        <v>23085.4</v>
      </c>
      <c r="G28" s="129">
        <v>0</v>
      </c>
      <c r="H28" s="130">
        <f t="shared" si="0"/>
        <v>8340.8999999999978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v>0</v>
      </c>
      <c r="H29" s="130">
        <f t="shared" si="0"/>
        <v>36.449999999999989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-1704.7</v>
      </c>
      <c r="E30" s="129">
        <f t="shared" si="3"/>
        <v>23400.3</v>
      </c>
      <c r="F30" s="129">
        <v>12105.34</v>
      </c>
      <c r="G30" s="129">
        <v>0</v>
      </c>
      <c r="H30" s="130">
        <f t="shared" si="0"/>
        <v>11294.96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0</v>
      </c>
      <c r="H31" s="130">
        <f t="shared" si="0"/>
        <v>10675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/>
      <c r="E32" s="129">
        <f t="shared" si="3"/>
        <v>7140</v>
      </c>
      <c r="F32" s="129">
        <v>844.96</v>
      </c>
      <c r="G32" s="129">
        <v>0</v>
      </c>
      <c r="H32" s="130">
        <f t="shared" si="0"/>
        <v>6295.04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/>
      <c r="E33" s="129">
        <f t="shared" si="3"/>
        <v>57710</v>
      </c>
      <c r="F33" s="129">
        <v>57205.5</v>
      </c>
      <c r="G33" s="129">
        <v>0</v>
      </c>
      <c r="H33" s="130">
        <f t="shared" si="0"/>
        <v>504.5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113</v>
      </c>
      <c r="G34" s="129">
        <v>0</v>
      </c>
      <c r="H34" s="130">
        <f t="shared" si="0"/>
        <v>788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5.4</v>
      </c>
      <c r="G35" s="129">
        <v>0</v>
      </c>
      <c r="H35" s="130">
        <f t="shared" si="0"/>
        <v>2500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6369.5</v>
      </c>
      <c r="E36" s="129">
        <f t="shared" si="3"/>
        <v>7429.5</v>
      </c>
      <c r="F36" s="129">
        <v>7149.5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0</v>
      </c>
      <c r="H37" s="130">
        <f t="shared" si="0"/>
        <v>2092.33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/>
      <c r="E38" s="129">
        <f t="shared" si="3"/>
        <v>4195</v>
      </c>
      <c r="F38" s="129">
        <v>0</v>
      </c>
      <c r="G38" s="129">
        <v>0</v>
      </c>
      <c r="H38" s="130">
        <f t="shared" si="0"/>
        <v>4195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90</v>
      </c>
      <c r="H39" s="130">
        <f t="shared" si="0"/>
        <v>710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85</v>
      </c>
      <c r="E40" s="129">
        <f t="shared" si="3"/>
        <v>2499</v>
      </c>
      <c r="F40" s="129">
        <v>85</v>
      </c>
      <c r="G40" s="129">
        <v>0</v>
      </c>
      <c r="H40" s="130">
        <f t="shared" si="0"/>
        <v>2414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-236.82</v>
      </c>
      <c r="E41" s="129">
        <f t="shared" si="3"/>
        <v>2363.1799999999998</v>
      </c>
      <c r="F41" s="129">
        <v>388.18</v>
      </c>
      <c r="G41" s="129">
        <v>0</v>
      </c>
      <c r="H41" s="130">
        <f t="shared" si="0"/>
        <v>1974.9999999999998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-414999.72</v>
      </c>
      <c r="E42" s="129">
        <f t="shared" si="3"/>
        <v>572925.28</v>
      </c>
      <c r="F42" s="129">
        <v>512028.98</v>
      </c>
      <c r="G42" s="129">
        <v>0</v>
      </c>
      <c r="H42" s="140">
        <f t="shared" si="0"/>
        <v>60896.300000000047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-404760.89999999997</v>
      </c>
      <c r="E43" s="141">
        <f>SUM(E25:E42)</f>
        <v>842343.10000000009</v>
      </c>
      <c r="F43" s="141">
        <f>SUM(F25:F42)</f>
        <v>651875.37</v>
      </c>
      <c r="G43" s="141">
        <f>SUM(G25:G42)</f>
        <v>90</v>
      </c>
      <c r="H43" s="142">
        <f t="shared" si="0"/>
        <v>190377.7300000001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56355.01</v>
      </c>
      <c r="G48" s="129">
        <v>0</v>
      </c>
      <c r="H48" s="146">
        <f t="shared" si="0"/>
        <v>139664.99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0</v>
      </c>
      <c r="H49" s="130">
        <f t="shared" si="0"/>
        <v>36649.410000000003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1706.64</v>
      </c>
      <c r="E50" s="129">
        <f>+C50+D50</f>
        <v>148356.64000000001</v>
      </c>
      <c r="F50" s="129">
        <v>71030.73</v>
      </c>
      <c r="G50" s="129">
        <v>0</v>
      </c>
      <c r="H50" s="140">
        <f t="shared" si="0"/>
        <v>77325.910000000018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0</v>
      </c>
      <c r="H51" s="147">
        <f t="shared" si="0"/>
        <v>1200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381.6400000000001</v>
      </c>
      <c r="E52" s="134">
        <f>SUM(E48:E51)</f>
        <v>388176.64000000001</v>
      </c>
      <c r="F52" s="134">
        <f>SUM(F48:F51)</f>
        <v>133336.33000000002</v>
      </c>
      <c r="G52" s="134">
        <f>SUM(G48:G51)</f>
        <v>0</v>
      </c>
      <c r="H52" s="148">
        <f t="shared" si="0"/>
        <v>254840.31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21188.65</v>
      </c>
      <c r="G53" s="129">
        <v>0</v>
      </c>
      <c r="H53" s="147">
        <f t="shared" si="0"/>
        <v>11411.349999999999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44307.15</v>
      </c>
      <c r="G54" s="129">
        <v>0</v>
      </c>
      <c r="H54" s="130">
        <f t="shared" si="0"/>
        <v>18692.849999999999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-9316.2999999999993</v>
      </c>
      <c r="E56" s="129">
        <f t="shared" si="4"/>
        <v>35283.699999999997</v>
      </c>
      <c r="F56" s="129">
        <v>565</v>
      </c>
      <c r="G56" s="129">
        <v>0</v>
      </c>
      <c r="H56" s="147">
        <f t="shared" si="0"/>
        <v>34718.699999999997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0</v>
      </c>
      <c r="G60" s="129">
        <v>0</v>
      </c>
      <c r="H60" s="147">
        <f t="shared" si="0"/>
        <v>36494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v>0</v>
      </c>
      <c r="H61" s="147">
        <f t="shared" si="0"/>
        <v>34495.599999999999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0</v>
      </c>
      <c r="H62" s="147">
        <f t="shared" si="0"/>
        <v>1992.0499999999993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0</v>
      </c>
      <c r="H63" s="147">
        <f t="shared" si="0"/>
        <v>14805.079999999958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8546.86</v>
      </c>
      <c r="E64" s="129">
        <f t="shared" si="4"/>
        <v>53006.86</v>
      </c>
      <c r="F64" s="129">
        <v>43773.88</v>
      </c>
      <c r="G64" s="129">
        <v>0</v>
      </c>
      <c r="H64" s="147">
        <f t="shared" si="0"/>
        <v>9232.9800000000032</v>
      </c>
    </row>
    <row r="65" spans="1:9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98.410000000001673</v>
      </c>
      <c r="E65" s="134">
        <f>SUM(E53:E64)</f>
        <v>896768.41</v>
      </c>
      <c r="F65" s="134">
        <f>SUM(F53:F64)</f>
        <v>729405.8</v>
      </c>
      <c r="G65" s="134">
        <f>SUM(G53:G64)</f>
        <v>0</v>
      </c>
      <c r="H65" s="148">
        <f t="shared" si="0"/>
        <v>167362.60999999999</v>
      </c>
    </row>
    <row r="66" spans="1:9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v>0</v>
      </c>
      <c r="H66" s="147">
        <f t="shared" si="0"/>
        <v>8000</v>
      </c>
    </row>
    <row r="67" spans="1:9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1747</v>
      </c>
      <c r="G67" s="129">
        <v>0</v>
      </c>
      <c r="H67" s="147">
        <f t="shared" si="0"/>
        <v>9764</v>
      </c>
    </row>
    <row r="68" spans="1:9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v>0</v>
      </c>
      <c r="H68" s="147">
        <f t="shared" si="0"/>
        <v>19090</v>
      </c>
    </row>
    <row r="69" spans="1:9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7614.4</v>
      </c>
      <c r="G69" s="134">
        <f>SUM(G66:G68)</f>
        <v>0</v>
      </c>
      <c r="H69" s="148">
        <f t="shared" si="0"/>
        <v>36854</v>
      </c>
    </row>
    <row r="70" spans="1:9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v>0</v>
      </c>
      <c r="H70" s="147">
        <f t="shared" si="0"/>
        <v>7000</v>
      </c>
    </row>
    <row r="71" spans="1:9" ht="12.75" customHeight="1" x14ac:dyDescent="0.25">
      <c r="A71" s="11">
        <v>54599</v>
      </c>
      <c r="B71" s="12" t="s">
        <v>65</v>
      </c>
      <c r="C71" s="131">
        <v>78800</v>
      </c>
      <c r="D71" s="131">
        <v>-12680.29</v>
      </c>
      <c r="E71" s="129">
        <f>+C71+D71</f>
        <v>66119.709999999992</v>
      </c>
      <c r="F71" s="129">
        <v>0</v>
      </c>
      <c r="G71" s="129">
        <v>0</v>
      </c>
      <c r="H71" s="147">
        <f t="shared" si="0"/>
        <v>66119.709999999992</v>
      </c>
    </row>
    <row r="72" spans="1:9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-12605.29</v>
      </c>
      <c r="E72" s="134">
        <f>SUM(E70:E71)</f>
        <v>73194.709999999992</v>
      </c>
      <c r="F72" s="134">
        <f>SUM(F70:F71)</f>
        <v>75</v>
      </c>
      <c r="G72" s="134">
        <f>SUM(G70:G71)</f>
        <v>0</v>
      </c>
      <c r="H72" s="147">
        <f t="shared" si="0"/>
        <v>73119.709999999992</v>
      </c>
    </row>
    <row r="73" spans="1:9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1522306.9</v>
      </c>
      <c r="G73" s="149">
        <f>+G72+G69+G65+G52+G43</f>
        <v>90</v>
      </c>
      <c r="H73" s="150">
        <f t="shared" si="0"/>
        <v>722554.36000000034</v>
      </c>
    </row>
    <row r="74" spans="1:9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0</v>
      </c>
      <c r="H74" s="147">
        <f t="shared" ref="H74:H100" si="5">+E74-F74-G74</f>
        <v>220.76999999999998</v>
      </c>
    </row>
    <row r="75" spans="1:9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0</v>
      </c>
      <c r="H75" s="147">
        <f t="shared" si="5"/>
        <v>220.76999999999998</v>
      </c>
    </row>
    <row r="76" spans="1:9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9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9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9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9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0</v>
      </c>
      <c r="H80" s="150">
        <f t="shared" si="5"/>
        <v>220.77000000000407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/>
      <c r="G81" s="131">
        <v>0</v>
      </c>
      <c r="H81" s="147">
        <f t="shared" si="5"/>
        <v>4000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0</v>
      </c>
      <c r="G83" s="134">
        <f>SUM(G81)</f>
        <v>0</v>
      </c>
      <c r="H83" s="148">
        <f t="shared" si="5"/>
        <v>4000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0</v>
      </c>
      <c r="H84" s="147">
        <f t="shared" si="5"/>
        <v>257.82999999999993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0</v>
      </c>
      <c r="H85" s="152">
        <f t="shared" si="5"/>
        <v>257.82999999999993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5242.17</v>
      </c>
      <c r="G86" s="156">
        <f t="shared" si="6"/>
        <v>0</v>
      </c>
      <c r="H86" s="157">
        <f t="shared" si="6"/>
        <v>4257.83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-125</v>
      </c>
      <c r="E92" s="145">
        <f t="shared" ref="E92:E97" si="7">+C92+D92</f>
        <v>2935</v>
      </c>
      <c r="F92" s="145">
        <v>0</v>
      </c>
      <c r="G92" s="158">
        <v>0</v>
      </c>
      <c r="H92" s="146">
        <f t="shared" si="5"/>
        <v>2935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0</v>
      </c>
      <c r="E93" s="129">
        <f t="shared" si="7"/>
        <v>6760</v>
      </c>
      <c r="F93" s="129">
        <v>0</v>
      </c>
      <c r="G93" s="132">
        <v>0</v>
      </c>
      <c r="H93" s="147">
        <f t="shared" si="5"/>
        <v>6760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0</v>
      </c>
      <c r="E95" s="129">
        <f t="shared" si="7"/>
        <v>16000</v>
      </c>
      <c r="F95" s="129">
        <v>0</v>
      </c>
      <c r="G95" s="132">
        <v>0</v>
      </c>
      <c r="H95" s="147">
        <f t="shared" si="5"/>
        <v>16000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8235</v>
      </c>
      <c r="E96" s="129">
        <f t="shared" si="7"/>
        <v>9235</v>
      </c>
      <c r="F96" s="129">
        <v>0</v>
      </c>
      <c r="G96" s="131">
        <v>0</v>
      </c>
      <c r="H96" s="147">
        <f t="shared" si="5"/>
        <v>9235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8235</v>
      </c>
      <c r="E98" s="134">
        <f t="shared" si="8"/>
        <v>35555</v>
      </c>
      <c r="F98" s="134">
        <f t="shared" si="8"/>
        <v>125</v>
      </c>
      <c r="G98" s="134">
        <f t="shared" si="8"/>
        <v>0</v>
      </c>
      <c r="H98" s="148">
        <f t="shared" si="8"/>
        <v>35430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-8235</v>
      </c>
      <c r="E99" s="129">
        <f>+C99+D99</f>
        <v>1000</v>
      </c>
      <c r="F99" s="131">
        <v>0</v>
      </c>
      <c r="G99" s="131">
        <v>0</v>
      </c>
      <c r="H99" s="147">
        <f t="shared" si="5"/>
        <v>1000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-8235</v>
      </c>
      <c r="E100" s="160">
        <f>+E99</f>
        <v>1000</v>
      </c>
      <c r="F100" s="160">
        <f>+F99</f>
        <v>0</v>
      </c>
      <c r="G100" s="160">
        <f>SUM(G99)</f>
        <v>0</v>
      </c>
      <c r="H100" s="161">
        <f t="shared" si="5"/>
        <v>1000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125</v>
      </c>
      <c r="G101" s="165">
        <f>SUM(G100+G98)</f>
        <v>0</v>
      </c>
      <c r="H101" s="166">
        <f>+H100+H98</f>
        <v>36430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4554451.0999999996</v>
      </c>
      <c r="G102" s="171">
        <f>+G24+G73+G80+G101+G86</f>
        <v>171320.88999999998</v>
      </c>
      <c r="H102" s="172">
        <f>+E102-F102-G102</f>
        <v>5961632.0100000007</v>
      </c>
      <c r="I102" s="29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B19" sqref="B1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76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76"/>
      <c r="H4" s="2"/>
      <c r="I4" s="1"/>
    </row>
    <row r="5" spans="1:9" ht="12.75" customHeight="1" x14ac:dyDescent="0.25">
      <c r="A5" s="2"/>
      <c r="B5" s="176"/>
      <c r="C5" s="176"/>
      <c r="D5" s="176"/>
      <c r="E5" s="176"/>
      <c r="F5" s="176"/>
      <c r="G5" s="176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75"/>
      <c r="B7" s="190" t="s">
        <v>85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2355842.1</v>
      </c>
      <c r="G10" s="129">
        <v>55447.86</v>
      </c>
      <c r="H10" s="130">
        <f t="shared" ref="H10:H73" si="0">+E10-F10-G10</f>
        <v>2405690.04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687784.66</v>
      </c>
      <c r="G13" s="129">
        <v>77866.02</v>
      </c>
      <c r="H13" s="130">
        <f t="shared" si="0"/>
        <v>801245.36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140310.01999999999</v>
      </c>
      <c r="G16" s="129">
        <v>19662.439999999999</v>
      </c>
      <c r="H16" s="130">
        <f t="shared" si="0"/>
        <v>159672.54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37336.550000000003</v>
      </c>
      <c r="G17" s="129">
        <v>5540.3</v>
      </c>
      <c r="H17" s="130">
        <f t="shared" si="0"/>
        <v>44811.22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154348</v>
      </c>
      <c r="G18" s="129">
        <v>25339.74</v>
      </c>
      <c r="H18" s="130">
        <f t="shared" si="0"/>
        <v>179253.26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49826.16</v>
      </c>
      <c r="G19" s="129">
        <v>9514.76</v>
      </c>
      <c r="H19" s="130">
        <f t="shared" si="0"/>
        <v>62098.46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23314.560000000001</v>
      </c>
      <c r="G20" s="129">
        <v>0.44</v>
      </c>
      <c r="H20" s="130">
        <f t="shared" si="0"/>
        <v>23315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37642.76</v>
      </c>
      <c r="G23" s="129">
        <v>7507.24</v>
      </c>
      <c r="H23" s="130">
        <f t="shared" si="0"/>
        <v>26300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3681759.07</v>
      </c>
      <c r="G24" s="137">
        <f t="shared" si="2"/>
        <v>207486.53999999998</v>
      </c>
      <c r="H24" s="138">
        <f t="shared" si="2"/>
        <v>4427387.8600000003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24575.73</v>
      </c>
      <c r="G25" s="129">
        <v>10020.65</v>
      </c>
      <c r="H25" s="130">
        <f t="shared" si="0"/>
        <v>12113.499999999998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667144.30000000005</v>
      </c>
      <c r="G43" s="141">
        <f>SUM(G25:G42)</f>
        <v>53390.100000000006</v>
      </c>
      <c r="H43" s="142">
        <f t="shared" si="0"/>
        <v>128208.20000000004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64269.23</v>
      </c>
      <c r="G48" s="129">
        <v>33105.769999999997</v>
      </c>
      <c r="H48" s="146">
        <f t="shared" si="0"/>
        <v>98645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0</v>
      </c>
      <c r="E49" s="129">
        <f>+C49+D49</f>
        <v>42600</v>
      </c>
      <c r="F49" s="129">
        <v>5950.59</v>
      </c>
      <c r="G49" s="129">
        <v>15349.41</v>
      </c>
      <c r="H49" s="130">
        <f t="shared" si="0"/>
        <v>21300.000000000004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2456.64</v>
      </c>
      <c r="E50" s="129">
        <f>+C50+D50</f>
        <v>149106.64000000001</v>
      </c>
      <c r="F50" s="129">
        <v>92504.88</v>
      </c>
      <c r="G50" s="129">
        <v>16846.919999999998</v>
      </c>
      <c r="H50" s="140">
        <f t="shared" si="0"/>
        <v>39754.840000000011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162724.70000000001</v>
      </c>
      <c r="G52" s="134">
        <f>SUM(G48:G51)</f>
        <v>65902.099999999991</v>
      </c>
      <c r="H52" s="148">
        <f t="shared" si="0"/>
        <v>160299.84000000003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20528.650000000001</v>
      </c>
      <c r="G53" s="129">
        <v>7218.25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745660.1</v>
      </c>
      <c r="G65" s="134">
        <f>SUM(G53:G64)</f>
        <v>53419.969999999987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1583420.5</v>
      </c>
      <c r="G73" s="149">
        <f>+G72+G69+G65+G52+G43</f>
        <v>192200.02</v>
      </c>
      <c r="H73" s="150">
        <f t="shared" si="0"/>
        <v>469330.74000000022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2000</v>
      </c>
      <c r="G81" s="131">
        <v>0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2000</v>
      </c>
      <c r="G83" s="134">
        <f>SUM(G81)</f>
        <v>0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7242.17</v>
      </c>
      <c r="G86" s="156">
        <f t="shared" si="6"/>
        <v>257.83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5381736.2599999998</v>
      </c>
      <c r="G102" s="171">
        <f>+G24+G73+G80+G86+G101</f>
        <v>400165.16</v>
      </c>
      <c r="H102" s="172">
        <f>+E102-F102-G102</f>
        <v>4905502.58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topLeftCell="A67" workbookViewId="0">
      <selection activeCell="K95" sqref="K95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78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78"/>
      <c r="H4" s="2"/>
      <c r="I4" s="1"/>
    </row>
    <row r="5" spans="1:9" ht="12.75" customHeight="1" x14ac:dyDescent="0.25">
      <c r="A5" s="2"/>
      <c r="B5" s="178"/>
      <c r="C5" s="178"/>
      <c r="D5" s="178"/>
      <c r="E5" s="178"/>
      <c r="F5" s="178"/>
      <c r="G5" s="178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77"/>
      <c r="B7" s="190" t="s">
        <v>86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2751995.06</v>
      </c>
      <c r="G10" s="129">
        <v>60243.24</v>
      </c>
      <c r="H10" s="130">
        <f t="shared" ref="H10:H73" si="0">+E10-F10-G10</f>
        <v>2004741.7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811050.8</v>
      </c>
      <c r="G13" s="129">
        <v>88140.77</v>
      </c>
      <c r="H13" s="130">
        <f t="shared" si="0"/>
        <v>667704.47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164010.29999999999</v>
      </c>
      <c r="G16" s="129">
        <v>22574.240000000002</v>
      </c>
      <c r="H16" s="130">
        <f t="shared" si="0"/>
        <v>133060.46000000002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44025.03</v>
      </c>
      <c r="G17" s="129">
        <v>6320.35</v>
      </c>
      <c r="H17" s="130">
        <f t="shared" si="0"/>
        <v>37342.69000000001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180301.06</v>
      </c>
      <c r="G18" s="129">
        <v>29262.31</v>
      </c>
      <c r="H18" s="130">
        <f t="shared" si="0"/>
        <v>149377.63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58805.19</v>
      </c>
      <c r="G19" s="129">
        <v>10885.64</v>
      </c>
      <c r="H19" s="130">
        <f t="shared" si="0"/>
        <v>51748.55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27200.32</v>
      </c>
      <c r="G20" s="129">
        <v>0.48</v>
      </c>
      <c r="H20" s="130">
        <f t="shared" si="0"/>
        <v>19429.2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3556.03</v>
      </c>
      <c r="G22" s="129">
        <v>0.97</v>
      </c>
      <c r="H22" s="130">
        <f t="shared" si="0"/>
        <v>3728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38692.76</v>
      </c>
      <c r="G23" s="129">
        <v>7757.24</v>
      </c>
      <c r="H23" s="130">
        <f t="shared" si="0"/>
        <v>25000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4271434.78</v>
      </c>
      <c r="G24" s="137">
        <f t="shared" si="2"/>
        <v>231792.00999999998</v>
      </c>
      <c r="H24" s="138">
        <f t="shared" si="2"/>
        <v>3813406.6799999997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1239.8800000000001</v>
      </c>
      <c r="E25" s="129">
        <f t="shared" ref="E25:E42" si="3">+C25+D25</f>
        <v>46709.88</v>
      </c>
      <c r="F25" s="129">
        <v>20976.080000000002</v>
      </c>
      <c r="G25" s="129">
        <v>13620.3</v>
      </c>
      <c r="H25" s="130">
        <f t="shared" si="0"/>
        <v>12113.499999999996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4108.8</v>
      </c>
      <c r="E28" s="129">
        <f t="shared" si="3"/>
        <v>31433.8</v>
      </c>
      <c r="F28" s="129">
        <v>24066.400000000001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112.45</v>
      </c>
      <c r="E29" s="129">
        <f t="shared" si="3"/>
        <v>337.45</v>
      </c>
      <c r="F29" s="129">
        <v>301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-2636.16</v>
      </c>
      <c r="E30" s="129">
        <f t="shared" si="3"/>
        <v>22468.84</v>
      </c>
      <c r="F30" s="129">
        <v>13348.34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60.12</v>
      </c>
      <c r="E32" s="129">
        <f t="shared" si="3"/>
        <v>7200.12</v>
      </c>
      <c r="F32" s="129">
        <v>3630.12</v>
      </c>
      <c r="G32" s="129">
        <v>0</v>
      </c>
      <c r="H32" s="130">
        <f t="shared" si="0"/>
        <v>3570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66.8</v>
      </c>
      <c r="E37" s="129">
        <f t="shared" si="3"/>
        <v>7341.8</v>
      </c>
      <c r="F37" s="129">
        <v>5249.47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1179.5</v>
      </c>
      <c r="E38" s="129">
        <f t="shared" si="3"/>
        <v>5374.5</v>
      </c>
      <c r="F38" s="129">
        <v>4855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-415312.69</v>
      </c>
      <c r="E42" s="129">
        <f t="shared" si="3"/>
        <v>572612.31000000006</v>
      </c>
      <c r="F42" s="129">
        <v>510253.48</v>
      </c>
      <c r="G42" s="129">
        <f>61227.36-31790.03</f>
        <v>29437.33</v>
      </c>
      <c r="H42" s="140">
        <f t="shared" si="0"/>
        <v>32921.500000000073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-398361.4</v>
      </c>
      <c r="E43" s="141">
        <f>SUM(E25:E42)</f>
        <v>848742.60000000009</v>
      </c>
      <c r="F43" s="141">
        <f>SUM(F25:F42)</f>
        <v>663544.65</v>
      </c>
      <c r="G43" s="141">
        <f>SUM(G25:G42)</f>
        <v>56989.750000000007</v>
      </c>
      <c r="H43" s="142">
        <f t="shared" si="0"/>
        <v>128208.20000000007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-1325</v>
      </c>
      <c r="E48" s="129">
        <f>+C48+D48</f>
        <v>196020</v>
      </c>
      <c r="F48" s="129">
        <v>72481.89</v>
      </c>
      <c r="G48" s="129">
        <v>33105.769999999997</v>
      </c>
      <c r="H48" s="146">
        <f t="shared" si="0"/>
        <v>90432.34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-210.4</v>
      </c>
      <c r="E49" s="129">
        <f>+C49+D49</f>
        <v>42389.599999999999</v>
      </c>
      <c r="F49" s="129">
        <v>7413.64</v>
      </c>
      <c r="G49" s="129">
        <v>15349.41</v>
      </c>
      <c r="H49" s="130">
        <f t="shared" si="0"/>
        <v>19626.55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2667.04</v>
      </c>
      <c r="E50" s="129">
        <f>+C50+D50</f>
        <v>149317.04</v>
      </c>
      <c r="F50" s="129">
        <v>94071.31</v>
      </c>
      <c r="G50" s="129">
        <v>16846.96</v>
      </c>
      <c r="H50" s="140">
        <f t="shared" si="0"/>
        <v>38398.770000000011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1131.6399999999999</v>
      </c>
      <c r="E52" s="134">
        <f>SUM(E48:E51)</f>
        <v>388926.64</v>
      </c>
      <c r="F52" s="134">
        <f>SUM(F48:F51)</f>
        <v>173966.84</v>
      </c>
      <c r="G52" s="134">
        <f>SUM(G48:G51)</f>
        <v>65902.139999999985</v>
      </c>
      <c r="H52" s="148">
        <f t="shared" si="0"/>
        <v>149057.66000000003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0</v>
      </c>
      <c r="E53" s="129">
        <f t="shared" ref="E53:E64" si="4">+C53+D53</f>
        <v>32600</v>
      </c>
      <c r="F53" s="129">
        <v>20248.650000000001</v>
      </c>
      <c r="G53" s="129">
        <v>7498.25</v>
      </c>
      <c r="H53" s="147">
        <f t="shared" si="0"/>
        <v>4853.0999999999985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0</v>
      </c>
      <c r="E54" s="129">
        <f t="shared" si="4"/>
        <v>63000</v>
      </c>
      <c r="F54" s="129">
        <v>47004.25</v>
      </c>
      <c r="G54" s="129">
        <v>6095.75</v>
      </c>
      <c r="H54" s="130">
        <f t="shared" si="0"/>
        <v>9900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1600</v>
      </c>
      <c r="E63" s="129">
        <f t="shared" si="4"/>
        <v>599870</v>
      </c>
      <c r="F63" s="129">
        <v>585064.92000000004</v>
      </c>
      <c r="G63" s="129">
        <v>7002.52</v>
      </c>
      <c r="H63" s="147">
        <f t="shared" si="0"/>
        <v>7802.5599999999577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16046.86</v>
      </c>
      <c r="E64" s="129">
        <f t="shared" si="4"/>
        <v>60506.86</v>
      </c>
      <c r="F64" s="129">
        <v>51375.58</v>
      </c>
      <c r="G64" s="129">
        <v>1144.2</v>
      </c>
      <c r="H64" s="147">
        <f t="shared" si="0"/>
        <v>7987.079999999999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1628.4100000000017</v>
      </c>
      <c r="E65" s="134">
        <f>SUM(E53:E64)</f>
        <v>898298.41</v>
      </c>
      <c r="F65" s="134">
        <f>SUM(F53:F64)</f>
        <v>745380.1</v>
      </c>
      <c r="G65" s="134">
        <f>SUM(G53:G64)</f>
        <v>53699.969999999987</v>
      </c>
      <c r="H65" s="148">
        <f t="shared" si="0"/>
        <v>99218.340000000069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1949</v>
      </c>
      <c r="G67" s="129">
        <v>3832</v>
      </c>
      <c r="H67" s="147">
        <f t="shared" si="0"/>
        <v>5730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7816.4</v>
      </c>
      <c r="G69" s="134">
        <f>SUM(G66:G68)</f>
        <v>14922</v>
      </c>
      <c r="H69" s="148">
        <f t="shared" si="0"/>
        <v>21730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-21359.79</v>
      </c>
      <c r="E71" s="129">
        <f>+C71+D71</f>
        <v>57440.21</v>
      </c>
      <c r="F71" s="129">
        <v>0</v>
      </c>
      <c r="G71" s="129">
        <f>34125.71-33059.86</f>
        <v>1065.8499999999985</v>
      </c>
      <c r="H71" s="147">
        <f t="shared" si="0"/>
        <v>56374.36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-21284.79</v>
      </c>
      <c r="E72" s="134">
        <f>SUM(E70:E71)</f>
        <v>64515.21</v>
      </c>
      <c r="F72" s="134">
        <f>SUM(F70:F71)</f>
        <v>75</v>
      </c>
      <c r="G72" s="134">
        <f>SUM(G70:G71)</f>
        <v>4565.8499999999985</v>
      </c>
      <c r="H72" s="147">
        <f t="shared" si="0"/>
        <v>59874.36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2244951.2600000002</v>
      </c>
      <c r="F73" s="136">
        <f>+F72+F69+F65+F52+F43</f>
        <v>1590782.99</v>
      </c>
      <c r="G73" s="149">
        <f>+G72+G69+G65+G52+G43</f>
        <v>196079.70999999996</v>
      </c>
      <c r="H73" s="150">
        <f t="shared" si="0"/>
        <v>458088.56000000029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-552.5</v>
      </c>
      <c r="E92" s="145">
        <f t="shared" ref="E92:E97" si="7">+C92+D92</f>
        <v>2507.5</v>
      </c>
      <c r="F92" s="145">
        <v>0</v>
      </c>
      <c r="G92" s="158">
        <v>0</v>
      </c>
      <c r="H92" s="146">
        <f t="shared" si="5"/>
        <v>2507.5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427.5</v>
      </c>
      <c r="E93" s="129">
        <f t="shared" si="7"/>
        <v>7187.5</v>
      </c>
      <c r="F93" s="129">
        <v>7187.5</v>
      </c>
      <c r="G93" s="132">
        <v>0</v>
      </c>
      <c r="H93" s="147">
        <f t="shared" si="5"/>
        <v>0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0</v>
      </c>
      <c r="E94" s="129">
        <f t="shared" si="7"/>
        <v>500</v>
      </c>
      <c r="F94" s="129">
        <v>0</v>
      </c>
      <c r="G94" s="132">
        <v>0</v>
      </c>
      <c r="H94" s="147">
        <f t="shared" si="5"/>
        <v>500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-10208.719999999999</v>
      </c>
      <c r="E95" s="129">
        <f t="shared" si="7"/>
        <v>5791.2800000000007</v>
      </c>
      <c r="F95" s="129">
        <v>3014.8</v>
      </c>
      <c r="G95" s="132">
        <v>0</v>
      </c>
      <c r="H95" s="147">
        <f t="shared" si="5"/>
        <v>2776.4800000000005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0</v>
      </c>
      <c r="E96" s="129">
        <f t="shared" si="7"/>
        <v>1000</v>
      </c>
      <c r="F96" s="129">
        <v>0</v>
      </c>
      <c r="G96" s="131">
        <v>0</v>
      </c>
      <c r="H96" s="147">
        <f t="shared" si="5"/>
        <v>1000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-10208.719999999999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6783.9800000000005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6783.9800000000005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5978769.8600000003</v>
      </c>
      <c r="G102" s="171">
        <f>+G24+G73+G80+G86+G101</f>
        <v>428354.92</v>
      </c>
      <c r="H102" s="172">
        <f>+E102-F102-G102</f>
        <v>4280279.22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9" workbookViewId="0">
      <selection activeCell="B7" sqref="B7:H7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81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81"/>
      <c r="H4" s="2"/>
      <c r="I4" s="1"/>
    </row>
    <row r="5" spans="1:9" ht="12.75" customHeight="1" x14ac:dyDescent="0.25">
      <c r="A5" s="2"/>
      <c r="B5" s="181"/>
      <c r="C5" s="181"/>
      <c r="D5" s="181"/>
      <c r="E5" s="181"/>
      <c r="F5" s="181"/>
      <c r="G5" s="181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80"/>
      <c r="B7" s="190" t="s">
        <v>87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-61600</v>
      </c>
      <c r="E10" s="129">
        <f>+C10+D10</f>
        <v>4816980</v>
      </c>
      <c r="F10" s="129">
        <v>3144748.02</v>
      </c>
      <c r="G10" s="129">
        <v>68438.62</v>
      </c>
      <c r="H10" s="130">
        <f t="shared" ref="H10:H73" si="0">+E10-F10-G10</f>
        <v>1603793.3599999999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-1825.04</v>
      </c>
      <c r="E11" s="129">
        <f t="shared" ref="E11:E23" si="1">+C11+D11</f>
        <v>177944.95999999999</v>
      </c>
      <c r="F11" s="129"/>
      <c r="G11" s="129">
        <v>0</v>
      </c>
      <c r="H11" s="130">
        <f t="shared" si="0"/>
        <v>177944.95999999999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-5200</v>
      </c>
      <c r="E12" s="129">
        <f t="shared" si="1"/>
        <v>503750</v>
      </c>
      <c r="F12" s="129">
        <v>113350</v>
      </c>
      <c r="G12" s="129">
        <v>2900</v>
      </c>
      <c r="H12" s="130">
        <f t="shared" si="0"/>
        <v>387500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391541.04</v>
      </c>
      <c r="E13" s="129">
        <f t="shared" si="1"/>
        <v>1566896.04</v>
      </c>
      <c r="F13" s="129">
        <v>934962.42</v>
      </c>
      <c r="G13" s="129">
        <v>97770.04</v>
      </c>
      <c r="H13" s="130">
        <f t="shared" si="0"/>
        <v>534163.57999999996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12319.02</v>
      </c>
      <c r="E14" s="129">
        <f t="shared" si="1"/>
        <v>48829.020000000004</v>
      </c>
      <c r="F14" s="129"/>
      <c r="G14" s="129">
        <v>0</v>
      </c>
      <c r="H14" s="130">
        <f t="shared" si="0"/>
        <v>48829.020000000004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35100</v>
      </c>
      <c r="E15" s="129">
        <f t="shared" si="1"/>
        <v>139100</v>
      </c>
      <c r="F15" s="129">
        <v>28400</v>
      </c>
      <c r="G15" s="129">
        <v>3700</v>
      </c>
      <c r="H15" s="130">
        <f t="shared" si="0"/>
        <v>107000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-3300</v>
      </c>
      <c r="E16" s="129">
        <f t="shared" si="1"/>
        <v>319645</v>
      </c>
      <c r="F16" s="129">
        <v>187560.58</v>
      </c>
      <c r="G16" s="129">
        <v>25636.04</v>
      </c>
      <c r="H16" s="130">
        <f t="shared" si="0"/>
        <v>106448.38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21278.07</v>
      </c>
      <c r="E17" s="129">
        <f t="shared" si="1"/>
        <v>87688.07</v>
      </c>
      <c r="F17" s="129">
        <v>50788.51</v>
      </c>
      <c r="G17" s="129">
        <v>7025.4</v>
      </c>
      <c r="H17" s="130">
        <f t="shared" si="0"/>
        <v>29874.160000000003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-4774</v>
      </c>
      <c r="E18" s="129">
        <f t="shared" si="1"/>
        <v>358941</v>
      </c>
      <c r="F18" s="129">
        <v>205997.42</v>
      </c>
      <c r="G18" s="129">
        <v>33441.58</v>
      </c>
      <c r="H18" s="130">
        <f t="shared" si="0"/>
        <v>119501.99999999999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30344.38</v>
      </c>
      <c r="E19" s="129">
        <f t="shared" si="1"/>
        <v>121439.38</v>
      </c>
      <c r="F19" s="129">
        <v>67829.41</v>
      </c>
      <c r="G19" s="129">
        <v>12211.33</v>
      </c>
      <c r="H19" s="130">
        <f t="shared" si="0"/>
        <v>41398.639999999999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31086.080000000002</v>
      </c>
      <c r="G20" s="129">
        <v>0.52</v>
      </c>
      <c r="H20" s="130">
        <f t="shared" si="0"/>
        <v>15543.399999999998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7283.43</v>
      </c>
      <c r="G22" s="129">
        <v>1.57</v>
      </c>
      <c r="H22" s="130">
        <f t="shared" si="0"/>
        <v>-2.9110047705671604E-13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39742.76</v>
      </c>
      <c r="G23" s="129">
        <f>7757.24+250</f>
        <v>8007.24</v>
      </c>
      <c r="H23" s="130">
        <f t="shared" si="0"/>
        <v>23700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413883.47000000003</v>
      </c>
      <c r="E24" s="135">
        <f t="shared" si="2"/>
        <v>8316633.4699999997</v>
      </c>
      <c r="F24" s="136">
        <f t="shared" si="2"/>
        <v>4861796.8599999994</v>
      </c>
      <c r="G24" s="137">
        <f>SUM(G10:G23)</f>
        <v>259139.10999999996</v>
      </c>
      <c r="H24" s="138">
        <f t="shared" si="2"/>
        <v>3195697.5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1326.29</v>
      </c>
      <c r="E25" s="129">
        <f t="shared" ref="E25:E42" si="3">+C25+D25</f>
        <v>46796.29</v>
      </c>
      <c r="F25" s="129">
        <v>21062.49</v>
      </c>
      <c r="G25" s="129">
        <v>13620.3</v>
      </c>
      <c r="H25" s="130">
        <f t="shared" si="0"/>
        <v>12113.5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0</v>
      </c>
      <c r="G26" s="129">
        <v>600</v>
      </c>
      <c r="H26" s="130">
        <f t="shared" si="0"/>
        <v>536.20000000000005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8681.23</v>
      </c>
      <c r="E27" s="129">
        <f t="shared" si="3"/>
        <v>64271.229999999996</v>
      </c>
      <c r="F27" s="129">
        <v>9140.68</v>
      </c>
      <c r="G27" s="129">
        <f>27815.83-27565.28</f>
        <v>250.55000000000291</v>
      </c>
      <c r="H27" s="130">
        <f t="shared" si="0"/>
        <v>54879.999999999993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4118.6899999999996</v>
      </c>
      <c r="E28" s="129">
        <f t="shared" si="3"/>
        <v>31443.69</v>
      </c>
      <c r="F28" s="129">
        <v>24076.29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482.45</v>
      </c>
      <c r="E29" s="129">
        <f t="shared" si="3"/>
        <v>707.45</v>
      </c>
      <c r="F29" s="129">
        <v>671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-2265.96</v>
      </c>
      <c r="E30" s="129">
        <f t="shared" si="3"/>
        <v>22839.040000000001</v>
      </c>
      <c r="F30" s="129">
        <v>13718.54</v>
      </c>
      <c r="G30" s="129">
        <v>5850.5</v>
      </c>
      <c r="H30" s="130">
        <f t="shared" si="0"/>
        <v>3270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4428.1000000000004</v>
      </c>
      <c r="G31" s="129">
        <v>2853</v>
      </c>
      <c r="H31" s="130">
        <f t="shared" si="0"/>
        <v>7822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3630.12</v>
      </c>
      <c r="G32" s="129">
        <v>0</v>
      </c>
      <c r="H32" s="130">
        <f t="shared" si="0"/>
        <v>3200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359.95</v>
      </c>
      <c r="G34" s="129">
        <v>216.05</v>
      </c>
      <c r="H34" s="130">
        <f t="shared" si="0"/>
        <v>324.99999999999994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5.4</v>
      </c>
      <c r="E35" s="129">
        <f t="shared" si="3"/>
        <v>2505.4</v>
      </c>
      <c r="F35" s="129">
        <v>661.99</v>
      </c>
      <c r="G35" s="129">
        <v>593.41</v>
      </c>
      <c r="H35" s="130">
        <f t="shared" si="0"/>
        <v>1250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6564.5</v>
      </c>
      <c r="E36" s="129">
        <f t="shared" si="3"/>
        <v>7624.5</v>
      </c>
      <c r="F36" s="129">
        <v>7344.5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76.98</v>
      </c>
      <c r="E37" s="129">
        <f t="shared" si="3"/>
        <v>7351.98</v>
      </c>
      <c r="F37" s="129">
        <v>5259.65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1303.5</v>
      </c>
      <c r="E38" s="129">
        <f t="shared" si="3"/>
        <v>5498.5</v>
      </c>
      <c r="F38" s="129">
        <v>4979</v>
      </c>
      <c r="G38" s="129">
        <v>19.5</v>
      </c>
      <c r="H38" s="130">
        <f t="shared" si="0"/>
        <v>500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98.45</v>
      </c>
      <c r="E40" s="129">
        <f t="shared" si="3"/>
        <v>2512.4499999999998</v>
      </c>
      <c r="F40" s="129">
        <v>189.15</v>
      </c>
      <c r="G40" s="129">
        <v>1423.3</v>
      </c>
      <c r="H40" s="130">
        <f t="shared" si="0"/>
        <v>899.99999999999977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160.13999999999999</v>
      </c>
      <c r="E41" s="129">
        <f t="shared" si="3"/>
        <v>2760.14</v>
      </c>
      <c r="F41" s="129">
        <v>1510.14</v>
      </c>
      <c r="G41" s="129">
        <v>0</v>
      </c>
      <c r="H41" s="130">
        <f t="shared" si="0"/>
        <v>1249.9999999999998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-413496.41</v>
      </c>
      <c r="E42" s="129">
        <f t="shared" si="3"/>
        <v>574428.59000000008</v>
      </c>
      <c r="F42" s="129">
        <v>512991.48</v>
      </c>
      <c r="G42" s="129">
        <f>61227.36-31790.03</f>
        <v>29437.33</v>
      </c>
      <c r="H42" s="140">
        <f t="shared" si="0"/>
        <v>31999.780000000101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-395944.43999999994</v>
      </c>
      <c r="E43" s="141">
        <f>SUM(E25:E42)</f>
        <v>851159.56</v>
      </c>
      <c r="F43" s="141">
        <f>SUM(F25:F42)</f>
        <v>667253.32999999996</v>
      </c>
      <c r="G43" s="141">
        <f>SUM(G25:G42)</f>
        <v>56989.750000000007</v>
      </c>
      <c r="H43" s="142">
        <f t="shared" si="0"/>
        <v>126916.4800000001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-5944.62</v>
      </c>
      <c r="E48" s="129">
        <f>+C48+D48</f>
        <v>191400.38</v>
      </c>
      <c r="F48" s="129">
        <v>78998.570000000007</v>
      </c>
      <c r="G48" s="129">
        <v>33105.769999999997</v>
      </c>
      <c r="H48" s="146">
        <f t="shared" si="0"/>
        <v>79296.040000000008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9018.75</v>
      </c>
      <c r="G49" s="129">
        <v>15349.41</v>
      </c>
      <c r="H49" s="130">
        <f t="shared" si="0"/>
        <v>18141.060000000001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6646.09</v>
      </c>
      <c r="E50" s="129">
        <f>+C50+D50</f>
        <v>153296.09</v>
      </c>
      <c r="F50" s="129">
        <v>101559.81</v>
      </c>
      <c r="G50" s="129">
        <v>16846.96</v>
      </c>
      <c r="H50" s="140">
        <f t="shared" si="0"/>
        <v>34889.32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610.69000000000051</v>
      </c>
      <c r="E52" s="134">
        <f>SUM(E48:E51)</f>
        <v>388405.69</v>
      </c>
      <c r="F52" s="134">
        <f>SUM(F48:F51)</f>
        <v>189577.13</v>
      </c>
      <c r="G52" s="134">
        <f>SUM(G48:G51)</f>
        <v>65902.139999999985</v>
      </c>
      <c r="H52" s="148">
        <f t="shared" si="0"/>
        <v>132926.42000000001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-272.86</v>
      </c>
      <c r="E53" s="129">
        <f t="shared" ref="E53:E64" si="4">+C53+D53</f>
        <v>32327.14</v>
      </c>
      <c r="F53" s="129">
        <v>20323.650000000001</v>
      </c>
      <c r="G53" s="129">
        <v>7498.25</v>
      </c>
      <c r="H53" s="147">
        <f t="shared" si="0"/>
        <v>4505.239999999998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272.86</v>
      </c>
      <c r="E54" s="129">
        <f t="shared" si="4"/>
        <v>63272.86</v>
      </c>
      <c r="F54" s="129">
        <v>50577.11</v>
      </c>
      <c r="G54" s="129">
        <v>6095.75</v>
      </c>
      <c r="H54" s="130">
        <f t="shared" si="0"/>
        <v>6600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-15286.3</v>
      </c>
      <c r="E56" s="129">
        <f t="shared" si="4"/>
        <v>29313.7</v>
      </c>
      <c r="F56" s="129">
        <v>0</v>
      </c>
      <c r="G56" s="129">
        <v>7073.7</v>
      </c>
      <c r="H56" s="147">
        <f t="shared" si="0"/>
        <v>22240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70</v>
      </c>
      <c r="E57" s="129">
        <f t="shared" si="4"/>
        <v>4370</v>
      </c>
      <c r="F57" s="129">
        <v>4320</v>
      </c>
      <c r="G57" s="129">
        <v>0</v>
      </c>
      <c r="H57" s="147">
        <f t="shared" si="0"/>
        <v>50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-636</v>
      </c>
      <c r="E60" s="129">
        <f t="shared" si="4"/>
        <v>36494</v>
      </c>
      <c r="F60" s="129">
        <v>7180.5</v>
      </c>
      <c r="G60" s="129">
        <f>56127.5-36494</f>
        <v>19633.5</v>
      </c>
      <c r="H60" s="147">
        <f t="shared" si="0"/>
        <v>9680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-586.15</v>
      </c>
      <c r="E61" s="129">
        <f t="shared" si="4"/>
        <v>35223.85</v>
      </c>
      <c r="F61" s="129">
        <v>728.25</v>
      </c>
      <c r="G61" s="129">
        <f>39141.2-34495.6</f>
        <v>4645.5999999999985</v>
      </c>
      <c r="H61" s="147">
        <f t="shared" si="0"/>
        <v>29850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2120.9499999999998</v>
      </c>
      <c r="E63" s="129">
        <f t="shared" si="4"/>
        <v>600390.94999999995</v>
      </c>
      <c r="F63" s="129">
        <v>585064.92000000004</v>
      </c>
      <c r="G63" s="129">
        <v>7002.52</v>
      </c>
      <c r="H63" s="147">
        <f t="shared" si="0"/>
        <v>8323.5099999999111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16059.9</v>
      </c>
      <c r="E64" s="129">
        <f t="shared" si="4"/>
        <v>60519.9</v>
      </c>
      <c r="F64" s="129">
        <v>51450.98</v>
      </c>
      <c r="G64" s="129">
        <v>1144.2</v>
      </c>
      <c r="H64" s="147">
        <f t="shared" si="0"/>
        <v>7924.7199999999984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2162.3999999999996</v>
      </c>
      <c r="E65" s="134">
        <f>SUM(E53:E64)</f>
        <v>898832.4</v>
      </c>
      <c r="F65" s="134">
        <f>SUM(F53:F64)</f>
        <v>749103.36</v>
      </c>
      <c r="G65" s="134">
        <f>SUM(G53:G64)</f>
        <v>53699.969999999987</v>
      </c>
      <c r="H65" s="148">
        <f t="shared" si="0"/>
        <v>96029.070000000051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597.4</v>
      </c>
      <c r="E66" s="129">
        <f>+C66+D66</f>
        <v>11632.4</v>
      </c>
      <c r="F66" s="129">
        <v>3632.4</v>
      </c>
      <c r="G66" s="131">
        <f>10000-8000</f>
        <v>2000</v>
      </c>
      <c r="H66" s="147">
        <f t="shared" si="0"/>
        <v>6000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2281</v>
      </c>
      <c r="G67" s="129">
        <v>3832</v>
      </c>
      <c r="H67" s="147">
        <f t="shared" si="0"/>
        <v>5398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1973.4</v>
      </c>
      <c r="E69" s="134">
        <f>SUM(E66:E68)</f>
        <v>44468.4</v>
      </c>
      <c r="F69" s="134">
        <f>SUM(F66:F68)</f>
        <v>8148.4</v>
      </c>
      <c r="G69" s="134">
        <f>SUM(G66:G68)</f>
        <v>14922</v>
      </c>
      <c r="H69" s="148">
        <f t="shared" si="0"/>
        <v>21398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75</v>
      </c>
      <c r="E70" s="129">
        <f>+C70+D70</f>
        <v>7075</v>
      </c>
      <c r="F70" s="129">
        <v>75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-23789.79</v>
      </c>
      <c r="E71" s="129">
        <f>+C71+D71</f>
        <v>55010.21</v>
      </c>
      <c r="F71" s="129">
        <v>0</v>
      </c>
      <c r="G71" s="129">
        <f>34125.71-33059.86</f>
        <v>1065.8499999999985</v>
      </c>
      <c r="H71" s="147">
        <f t="shared" si="0"/>
        <v>53944.36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-23714.79</v>
      </c>
      <c r="E72" s="134">
        <f>SUM(E70:E71)</f>
        <v>62085.21</v>
      </c>
      <c r="F72" s="134">
        <f>SUM(F70:F71)</f>
        <v>75</v>
      </c>
      <c r="G72" s="134">
        <f>SUM(G70:G71)</f>
        <v>4565.8499999999985</v>
      </c>
      <c r="H72" s="147">
        <f t="shared" si="0"/>
        <v>57444.36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-414912.73999999993</v>
      </c>
      <c r="E73" s="135">
        <f>+E72+E69+E65+E52+E43</f>
        <v>2244951.2599999998</v>
      </c>
      <c r="F73" s="136">
        <f>+F72+F69+F65+F52+F43</f>
        <v>1614157.22</v>
      </c>
      <c r="G73" s="149">
        <f>+G72+G69+G65+G52+G43</f>
        <v>196079.70999999996</v>
      </c>
      <c r="H73" s="150">
        <f t="shared" si="0"/>
        <v>434714.32999999984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1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x14ac:dyDescent="0.25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22"/>
      <c r="B91" s="22"/>
      <c r="C91" s="143"/>
      <c r="D91" s="143"/>
      <c r="E91" s="143"/>
      <c r="F91" s="143"/>
      <c r="G91" s="143"/>
      <c r="H91" s="143"/>
      <c r="I91" s="30"/>
    </row>
    <row r="92" spans="1:9" s="31" customFormat="1" ht="12.75" customHeight="1" thickBot="1" x14ac:dyDescent="0.3">
      <c r="A92" s="3" t="s">
        <v>5</v>
      </c>
      <c r="B92" s="4" t="s">
        <v>6</v>
      </c>
      <c r="C92" s="23" t="s">
        <v>7</v>
      </c>
      <c r="D92" s="5" t="s">
        <v>8</v>
      </c>
      <c r="E92" s="63" t="s">
        <v>44</v>
      </c>
      <c r="F92" s="64" t="s">
        <v>10</v>
      </c>
      <c r="G92" s="24" t="s">
        <v>11</v>
      </c>
      <c r="H92" s="36" t="s">
        <v>12</v>
      </c>
      <c r="I92" s="30"/>
    </row>
    <row r="93" spans="1:9" s="40" customFormat="1" ht="12.75" customHeight="1" x14ac:dyDescent="0.2">
      <c r="A93" s="37">
        <v>61101</v>
      </c>
      <c r="B93" s="38" t="s">
        <v>73</v>
      </c>
      <c r="C93" s="158">
        <v>3060</v>
      </c>
      <c r="D93" s="158">
        <v>-552.5</v>
      </c>
      <c r="E93" s="145">
        <f t="shared" ref="E93:E98" si="7">+C93+D93</f>
        <v>2507.5</v>
      </c>
      <c r="F93" s="145">
        <v>0</v>
      </c>
      <c r="G93" s="158">
        <v>0</v>
      </c>
      <c r="H93" s="146">
        <f t="shared" si="5"/>
        <v>2507.5</v>
      </c>
      <c r="I93" s="39"/>
    </row>
    <row r="94" spans="1:9" s="40" customFormat="1" ht="12.75" customHeight="1" x14ac:dyDescent="0.2">
      <c r="A94" s="27">
        <v>61102</v>
      </c>
      <c r="B94" s="41" t="s">
        <v>74</v>
      </c>
      <c r="C94" s="132">
        <v>6760</v>
      </c>
      <c r="D94" s="132">
        <v>427.5</v>
      </c>
      <c r="E94" s="129">
        <f t="shared" si="7"/>
        <v>7187.5</v>
      </c>
      <c r="F94" s="129">
        <v>7187.5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61103</v>
      </c>
      <c r="B95" s="41" t="s">
        <v>75</v>
      </c>
      <c r="C95" s="132">
        <v>500</v>
      </c>
      <c r="D95" s="132">
        <v>0</v>
      </c>
      <c r="E95" s="129">
        <f t="shared" si="7"/>
        <v>500</v>
      </c>
      <c r="F95" s="129">
        <v>0</v>
      </c>
      <c r="G95" s="132">
        <v>0</v>
      </c>
      <c r="H95" s="147">
        <f t="shared" si="5"/>
        <v>500</v>
      </c>
      <c r="I95" s="39"/>
    </row>
    <row r="96" spans="1:9" s="40" customFormat="1" ht="12.75" customHeight="1" x14ac:dyDescent="0.2">
      <c r="A96" s="27">
        <v>61104</v>
      </c>
      <c r="B96" s="41" t="s">
        <v>76</v>
      </c>
      <c r="C96" s="132">
        <v>16000</v>
      </c>
      <c r="D96" s="132">
        <v>-10208.719999999999</v>
      </c>
      <c r="E96" s="129">
        <f t="shared" si="7"/>
        <v>5791.2800000000007</v>
      </c>
      <c r="F96" s="129">
        <v>3014.8</v>
      </c>
      <c r="G96" s="132">
        <v>0</v>
      </c>
      <c r="H96" s="147">
        <f t="shared" si="5"/>
        <v>2776.4800000000005</v>
      </c>
      <c r="I96" s="39"/>
    </row>
    <row r="97" spans="1:10" s="31" customFormat="1" ht="12.75" customHeight="1" x14ac:dyDescent="0.25">
      <c r="A97" s="11">
        <v>61108</v>
      </c>
      <c r="B97" s="12" t="s">
        <v>40</v>
      </c>
      <c r="C97" s="131">
        <v>1000</v>
      </c>
      <c r="D97" s="131">
        <v>0</v>
      </c>
      <c r="E97" s="129">
        <f t="shared" si="7"/>
        <v>1000</v>
      </c>
      <c r="F97" s="129">
        <v>0</v>
      </c>
      <c r="G97" s="131">
        <v>0</v>
      </c>
      <c r="H97" s="147">
        <f t="shared" si="5"/>
        <v>1000</v>
      </c>
      <c r="I97" s="30"/>
    </row>
    <row r="98" spans="1:10" s="31" customFormat="1" ht="12.75" customHeight="1" x14ac:dyDescent="0.25">
      <c r="A98" s="11">
        <v>61199</v>
      </c>
      <c r="B98" s="12" t="s">
        <v>82</v>
      </c>
      <c r="C98" s="131">
        <v>0</v>
      </c>
      <c r="D98" s="131">
        <v>125</v>
      </c>
      <c r="E98" s="129">
        <f t="shared" si="7"/>
        <v>125</v>
      </c>
      <c r="F98" s="129">
        <v>125</v>
      </c>
      <c r="G98" s="131">
        <v>0</v>
      </c>
      <c r="H98" s="147">
        <v>0</v>
      </c>
      <c r="I98" s="30"/>
    </row>
    <row r="99" spans="1:10" s="31" customFormat="1" ht="12.75" customHeight="1" x14ac:dyDescent="0.25">
      <c r="A99" s="27"/>
      <c r="B99" s="14" t="s">
        <v>43</v>
      </c>
      <c r="C99" s="134">
        <f t="shared" ref="C99:H99" si="8">SUM(C93:C98)</f>
        <v>27320</v>
      </c>
      <c r="D99" s="134">
        <f t="shared" si="8"/>
        <v>-10208.719999999999</v>
      </c>
      <c r="E99" s="134">
        <f t="shared" si="8"/>
        <v>17111.28</v>
      </c>
      <c r="F99" s="134">
        <f t="shared" si="8"/>
        <v>10327.299999999999</v>
      </c>
      <c r="G99" s="134">
        <f t="shared" si="8"/>
        <v>0</v>
      </c>
      <c r="H99" s="148">
        <f t="shared" si="8"/>
        <v>6783.9800000000005</v>
      </c>
      <c r="I99" s="30"/>
    </row>
    <row r="100" spans="1:10" s="31" customFormat="1" ht="12.75" customHeight="1" x14ac:dyDescent="0.25">
      <c r="A100" s="11">
        <v>61403</v>
      </c>
      <c r="B100" s="12" t="s">
        <v>77</v>
      </c>
      <c r="C100" s="131">
        <v>9235</v>
      </c>
      <c r="D100" s="131">
        <v>10208.719999999999</v>
      </c>
      <c r="E100" s="129">
        <f>+C100+D100</f>
        <v>19443.72</v>
      </c>
      <c r="F100" s="131">
        <v>19443.72</v>
      </c>
      <c r="G100" s="131">
        <v>0</v>
      </c>
      <c r="H100" s="147">
        <f t="shared" si="5"/>
        <v>0</v>
      </c>
      <c r="I100" s="30"/>
    </row>
    <row r="101" spans="1:10" s="31" customFormat="1" ht="12.75" customHeight="1" thickBot="1" x14ac:dyDescent="0.3">
      <c r="A101" s="42"/>
      <c r="B101" s="43" t="s">
        <v>43</v>
      </c>
      <c r="C101" s="159">
        <f>+C100</f>
        <v>9235</v>
      </c>
      <c r="D101" s="159">
        <f>+D100</f>
        <v>10208.719999999999</v>
      </c>
      <c r="E101" s="160">
        <f>+E100</f>
        <v>19443.72</v>
      </c>
      <c r="F101" s="160">
        <f>+F100</f>
        <v>19443.72</v>
      </c>
      <c r="G101" s="160">
        <f>SUM(G100)</f>
        <v>0</v>
      </c>
      <c r="H101" s="161">
        <f t="shared" si="5"/>
        <v>0</v>
      </c>
      <c r="I101" s="30"/>
    </row>
    <row r="102" spans="1:10" s="31" customFormat="1" ht="12.75" customHeight="1" thickBot="1" x14ac:dyDescent="0.3">
      <c r="A102" s="44"/>
      <c r="B102" s="45" t="s">
        <v>24</v>
      </c>
      <c r="C102" s="162">
        <f>+C99+C101</f>
        <v>36555</v>
      </c>
      <c r="D102" s="162">
        <f>+D101+D99</f>
        <v>0</v>
      </c>
      <c r="E102" s="163">
        <f>+E101+E99</f>
        <v>36555</v>
      </c>
      <c r="F102" s="164">
        <f>+F101+F99</f>
        <v>29771.02</v>
      </c>
      <c r="G102" s="165">
        <f>SUM(G101+G99)</f>
        <v>0</v>
      </c>
      <c r="H102" s="166">
        <f>+H101+H99</f>
        <v>6783.9800000000005</v>
      </c>
      <c r="I102" s="30"/>
    </row>
    <row r="103" spans="1:10" ht="12.75" customHeight="1" x14ac:dyDescent="0.25">
      <c r="A103" s="46"/>
      <c r="B103" s="47" t="s">
        <v>78</v>
      </c>
      <c r="C103" s="167">
        <f>+C102+C86+C80+C73+C24</f>
        <v>10687404</v>
      </c>
      <c r="D103" s="168">
        <f>+D102+D86+D80+D73+D24</f>
        <v>0</v>
      </c>
      <c r="E103" s="169">
        <f>+E24+E73+E80+E102+E86</f>
        <v>10687404</v>
      </c>
      <c r="F103" s="170">
        <f>+F24+F73+F80+F102+F86</f>
        <v>6592506.169999999</v>
      </c>
      <c r="G103" s="171">
        <f>+G24+G73+G80+G86+G102</f>
        <v>455702.01999999996</v>
      </c>
      <c r="H103" s="172">
        <f>+E103-F103-G103</f>
        <v>3639195.810000001</v>
      </c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  <c r="J104" s="16"/>
    </row>
    <row r="105" spans="1:10" ht="12.75" customHeight="1" x14ac:dyDescent="0.25">
      <c r="C105" s="48"/>
      <c r="D105" s="48"/>
      <c r="E105" s="48"/>
      <c r="F105" s="48"/>
      <c r="G105" s="48"/>
      <c r="H105" s="29"/>
      <c r="I105" s="29"/>
    </row>
    <row r="106" spans="1:10" ht="12.75" customHeight="1" x14ac:dyDescent="0.25">
      <c r="C106" s="48"/>
      <c r="D106" s="48"/>
      <c r="E106" s="48"/>
      <c r="F106" s="48"/>
      <c r="G106" s="182"/>
      <c r="H106" s="29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H110" s="29"/>
      <c r="I110" s="29"/>
    </row>
    <row r="111" spans="1:10" ht="12.75" customHeight="1" x14ac:dyDescent="0.25">
      <c r="C111" s="48"/>
      <c r="D111" s="48"/>
      <c r="E111" s="48"/>
      <c r="F111" s="48"/>
      <c r="G111" s="48"/>
      <c r="J111" s="29"/>
    </row>
    <row r="112" spans="1:10" ht="12.75" customHeight="1" x14ac:dyDescent="0.25">
      <c r="C112" s="48"/>
      <c r="D112" s="48"/>
      <c r="E112" s="48"/>
      <c r="F112" s="48"/>
      <c r="G112" s="48"/>
    </row>
    <row r="113" spans="3:8" ht="12.75" customHeight="1" x14ac:dyDescent="0.25">
      <c r="C113" s="49"/>
      <c r="D113" s="49"/>
      <c r="E113" s="49"/>
      <c r="F113" s="49"/>
      <c r="G113" s="49"/>
      <c r="H113" s="49"/>
    </row>
    <row r="114" spans="3:8" ht="12.75" customHeight="1" x14ac:dyDescent="0.25">
      <c r="C114" s="50"/>
      <c r="D114" s="50"/>
      <c r="E114" s="50"/>
      <c r="F114" s="50"/>
      <c r="G114" s="50"/>
      <c r="H114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K9" sqref="K9"/>
    </sheetView>
  </sheetViews>
  <sheetFormatPr baseColWidth="10" defaultRowHeight="12.75" customHeight="1" x14ac:dyDescent="0.25"/>
  <cols>
    <col min="1" max="1" width="7" customWidth="1"/>
    <col min="2" max="2" width="32.28515625" customWidth="1"/>
    <col min="3" max="3" width="15.7109375" customWidth="1"/>
    <col min="4" max="4" width="13.140625" customWidth="1"/>
    <col min="5" max="5" width="14.7109375" customWidth="1"/>
    <col min="6" max="7" width="14.140625" customWidth="1"/>
    <col min="8" max="8" width="14.7109375" customWidth="1"/>
    <col min="9" max="9" width="12.85546875" bestFit="1" customWidth="1"/>
    <col min="11" max="11" width="13.28515625" bestFit="1" customWidth="1"/>
  </cols>
  <sheetData>
    <row r="2" spans="1:9" ht="12.75" customHeight="1" x14ac:dyDescent="0.25">
      <c r="A2" s="1"/>
      <c r="B2" s="192" t="s">
        <v>0</v>
      </c>
      <c r="C2" s="192"/>
      <c r="D2" s="192"/>
      <c r="E2" s="192"/>
      <c r="F2" s="192"/>
      <c r="G2" s="192"/>
      <c r="H2" s="192"/>
      <c r="I2" s="192"/>
    </row>
    <row r="3" spans="1:9" ht="12.75" customHeight="1" x14ac:dyDescent="0.25">
      <c r="A3" s="1"/>
      <c r="B3" s="191" t="s">
        <v>1</v>
      </c>
      <c r="C3" s="191"/>
      <c r="D3" s="191"/>
      <c r="E3" s="191"/>
      <c r="F3" s="191"/>
      <c r="G3" s="184"/>
      <c r="H3" s="1"/>
      <c r="I3" s="1"/>
    </row>
    <row r="4" spans="1:9" ht="12.75" customHeight="1" x14ac:dyDescent="0.25">
      <c r="A4" s="2"/>
      <c r="B4" s="191" t="s">
        <v>2</v>
      </c>
      <c r="C4" s="191"/>
      <c r="D4" s="191"/>
      <c r="E4" s="191"/>
      <c r="F4" s="191"/>
      <c r="G4" s="184"/>
      <c r="H4" s="2"/>
      <c r="I4" s="1"/>
    </row>
    <row r="5" spans="1:9" ht="12.75" customHeight="1" x14ac:dyDescent="0.25">
      <c r="A5" s="2"/>
      <c r="B5" s="184"/>
      <c r="C5" s="184"/>
      <c r="D5" s="184"/>
      <c r="E5" s="184"/>
      <c r="F5" s="184"/>
      <c r="G5" s="184"/>
      <c r="H5" s="2"/>
      <c r="I5" s="1"/>
    </row>
    <row r="6" spans="1:9" ht="12.75" customHeight="1" x14ac:dyDescent="0.25">
      <c r="A6" s="190" t="s">
        <v>3</v>
      </c>
      <c r="B6" s="190"/>
      <c r="C6" s="190"/>
      <c r="D6" s="190"/>
      <c r="E6" s="190"/>
      <c r="F6" s="190"/>
      <c r="G6" s="190"/>
      <c r="H6" s="190"/>
      <c r="I6" s="1"/>
    </row>
    <row r="7" spans="1:9" ht="12.75" customHeight="1" x14ac:dyDescent="0.25">
      <c r="A7" s="183"/>
      <c r="B7" s="190" t="s">
        <v>88</v>
      </c>
      <c r="C7" s="190"/>
      <c r="D7" s="190"/>
      <c r="E7" s="190"/>
      <c r="F7" s="190"/>
      <c r="G7" s="190"/>
      <c r="H7" s="190"/>
      <c r="I7" s="1"/>
    </row>
    <row r="8" spans="1:9" ht="12.75" customHeight="1" thickBot="1" x14ac:dyDescent="0.3">
      <c r="A8" s="190"/>
      <c r="B8" s="190"/>
      <c r="C8" s="190"/>
      <c r="D8" s="190"/>
      <c r="E8" s="190"/>
      <c r="F8" s="190"/>
      <c r="G8" s="190"/>
      <c r="H8" s="190"/>
      <c r="I8" s="1"/>
    </row>
    <row r="9" spans="1:9" s="8" customFormat="1" ht="12.75" customHeight="1" thickBot="1" x14ac:dyDescent="0.25">
      <c r="A9" s="3" t="s">
        <v>5</v>
      </c>
      <c r="B9" s="4" t="s">
        <v>6</v>
      </c>
      <c r="C9" s="5" t="s">
        <v>7</v>
      </c>
      <c r="D9" s="5" t="s">
        <v>8</v>
      </c>
      <c r="E9" s="61" t="s">
        <v>9</v>
      </c>
      <c r="F9" s="62" t="s">
        <v>10</v>
      </c>
      <c r="G9" s="6" t="s">
        <v>11</v>
      </c>
      <c r="H9" s="7" t="s">
        <v>12</v>
      </c>
    </row>
    <row r="10" spans="1:9" ht="12.75" customHeight="1" x14ac:dyDescent="0.25">
      <c r="A10" s="9">
        <v>51101</v>
      </c>
      <c r="B10" s="10" t="s">
        <v>13</v>
      </c>
      <c r="C10" s="129">
        <v>4878580</v>
      </c>
      <c r="D10" s="129">
        <v>-69475</v>
      </c>
      <c r="E10" s="129">
        <f>+C10+D10</f>
        <v>4809105</v>
      </c>
      <c r="F10" s="129">
        <v>3531070.38</v>
      </c>
      <c r="G10" s="129">
        <v>83064.600000000006</v>
      </c>
      <c r="H10" s="130">
        <f t="shared" ref="H10:H73" si="0">+E10-F10-G10</f>
        <v>1194970.02</v>
      </c>
    </row>
    <row r="11" spans="1:9" ht="12.75" customHeight="1" x14ac:dyDescent="0.25">
      <c r="A11" s="11">
        <v>51103</v>
      </c>
      <c r="B11" s="12" t="s">
        <v>14</v>
      </c>
      <c r="C11" s="131">
        <v>179770</v>
      </c>
      <c r="D11" s="129">
        <v>-3193.82</v>
      </c>
      <c r="E11" s="129">
        <f t="shared" ref="E11:E23" si="1">+C11+D11</f>
        <v>176576.18</v>
      </c>
      <c r="F11" s="129"/>
      <c r="G11" s="129">
        <v>0</v>
      </c>
      <c r="H11" s="130">
        <f t="shared" si="0"/>
        <v>176576.18</v>
      </c>
    </row>
    <row r="12" spans="1:9" ht="12.75" customHeight="1" x14ac:dyDescent="0.25">
      <c r="A12" s="11">
        <v>51107</v>
      </c>
      <c r="B12" s="12" t="s">
        <v>15</v>
      </c>
      <c r="C12" s="131">
        <v>508950</v>
      </c>
      <c r="D12" s="131">
        <v>-8200</v>
      </c>
      <c r="E12" s="129">
        <f t="shared" si="1"/>
        <v>500750</v>
      </c>
      <c r="F12" s="129">
        <v>113350</v>
      </c>
      <c r="G12" s="129">
        <v>2900</v>
      </c>
      <c r="H12" s="130">
        <f t="shared" si="0"/>
        <v>384500</v>
      </c>
    </row>
    <row r="13" spans="1:9" ht="12.75" customHeight="1" x14ac:dyDescent="0.25">
      <c r="A13" s="11">
        <v>51201</v>
      </c>
      <c r="B13" s="12" t="s">
        <v>16</v>
      </c>
      <c r="C13" s="131">
        <v>1175355</v>
      </c>
      <c r="D13" s="132">
        <v>399416.04</v>
      </c>
      <c r="E13" s="129">
        <f t="shared" si="1"/>
        <v>1574771.04</v>
      </c>
      <c r="F13" s="129">
        <v>1058468.56</v>
      </c>
      <c r="G13" s="129">
        <v>106934.79</v>
      </c>
      <c r="H13" s="130">
        <f t="shared" si="0"/>
        <v>409367.69</v>
      </c>
    </row>
    <row r="14" spans="1:9" ht="12.75" customHeight="1" x14ac:dyDescent="0.25">
      <c r="A14" s="11">
        <v>51203</v>
      </c>
      <c r="B14" s="12" t="s">
        <v>14</v>
      </c>
      <c r="C14" s="131">
        <v>36510</v>
      </c>
      <c r="D14" s="131">
        <v>13687.8</v>
      </c>
      <c r="E14" s="129">
        <f t="shared" si="1"/>
        <v>50197.8</v>
      </c>
      <c r="F14" s="129"/>
      <c r="G14" s="129">
        <v>0</v>
      </c>
      <c r="H14" s="130">
        <f t="shared" si="0"/>
        <v>50197.8</v>
      </c>
    </row>
    <row r="15" spans="1:9" ht="12.75" customHeight="1" x14ac:dyDescent="0.25">
      <c r="A15" s="11">
        <v>51207</v>
      </c>
      <c r="B15" s="12" t="s">
        <v>15</v>
      </c>
      <c r="C15" s="131">
        <v>104000</v>
      </c>
      <c r="D15" s="131">
        <v>38100</v>
      </c>
      <c r="E15" s="129">
        <f t="shared" si="1"/>
        <v>142100</v>
      </c>
      <c r="F15" s="129">
        <v>28400</v>
      </c>
      <c r="G15" s="129">
        <v>3700</v>
      </c>
      <c r="H15" s="130">
        <f t="shared" si="0"/>
        <v>110000</v>
      </c>
    </row>
    <row r="16" spans="1:9" ht="12.75" customHeight="1" x14ac:dyDescent="0.25">
      <c r="A16" s="11">
        <v>51401</v>
      </c>
      <c r="B16" s="12" t="s">
        <v>17</v>
      </c>
      <c r="C16" s="131">
        <v>322945</v>
      </c>
      <c r="D16" s="131">
        <v>-3845.64</v>
      </c>
      <c r="E16" s="129">
        <f t="shared" si="1"/>
        <v>319099.36</v>
      </c>
      <c r="F16" s="129">
        <v>210742.53</v>
      </c>
      <c r="G16" s="129">
        <v>29066.18</v>
      </c>
      <c r="H16" s="130">
        <f t="shared" si="0"/>
        <v>79290.649999999994</v>
      </c>
    </row>
    <row r="17" spans="1:11" ht="12.75" customHeight="1" x14ac:dyDescent="0.25">
      <c r="A17" s="11">
        <v>51402</v>
      </c>
      <c r="B17" s="12" t="s">
        <v>18</v>
      </c>
      <c r="C17" s="131">
        <v>66410</v>
      </c>
      <c r="D17" s="131">
        <v>21823.71</v>
      </c>
      <c r="E17" s="129">
        <f t="shared" si="1"/>
        <v>88233.709999999992</v>
      </c>
      <c r="F17" s="129">
        <v>57520.49</v>
      </c>
      <c r="G17" s="129">
        <v>7730.45</v>
      </c>
      <c r="H17" s="130">
        <f t="shared" si="0"/>
        <v>22982.769999999993</v>
      </c>
    </row>
    <row r="18" spans="1:11" ht="12.75" customHeight="1" x14ac:dyDescent="0.25">
      <c r="A18" s="11">
        <v>51501</v>
      </c>
      <c r="B18" s="12" t="s">
        <v>19</v>
      </c>
      <c r="C18" s="131">
        <v>363715</v>
      </c>
      <c r="D18" s="131">
        <v>-5384.32</v>
      </c>
      <c r="E18" s="129">
        <f t="shared" si="1"/>
        <v>358330.68</v>
      </c>
      <c r="F18" s="129">
        <v>231242.34</v>
      </c>
      <c r="G18" s="129">
        <v>38072.29</v>
      </c>
      <c r="H18" s="130">
        <f t="shared" si="0"/>
        <v>89016.049999999988</v>
      </c>
    </row>
    <row r="19" spans="1:11" ht="12.75" customHeight="1" x14ac:dyDescent="0.25">
      <c r="A19" s="11">
        <v>51502</v>
      </c>
      <c r="B19" s="12" t="s">
        <v>20</v>
      </c>
      <c r="C19" s="131">
        <v>91095</v>
      </c>
      <c r="D19" s="131">
        <v>30954.7</v>
      </c>
      <c r="E19" s="129">
        <f t="shared" si="1"/>
        <v>122049.7</v>
      </c>
      <c r="F19" s="129">
        <v>76825.679999999993</v>
      </c>
      <c r="G19" s="129">
        <v>13501.02</v>
      </c>
      <c r="H19" s="130">
        <f t="shared" si="0"/>
        <v>31723.000000000004</v>
      </c>
    </row>
    <row r="20" spans="1:11" ht="12.75" customHeight="1" x14ac:dyDescent="0.25">
      <c r="A20" s="11">
        <v>51601</v>
      </c>
      <c r="B20" s="12" t="s">
        <v>21</v>
      </c>
      <c r="C20" s="131">
        <v>46630</v>
      </c>
      <c r="D20" s="131"/>
      <c r="E20" s="129">
        <f t="shared" si="1"/>
        <v>46630</v>
      </c>
      <c r="F20" s="129">
        <v>34400.410000000003</v>
      </c>
      <c r="G20" s="129">
        <v>0.52</v>
      </c>
      <c r="H20" s="130">
        <f t="shared" si="0"/>
        <v>12229.069999999996</v>
      </c>
    </row>
    <row r="21" spans="1:11" ht="12.75" customHeight="1" x14ac:dyDescent="0.25">
      <c r="A21" s="11">
        <v>51701</v>
      </c>
      <c r="B21" s="12" t="s">
        <v>22</v>
      </c>
      <c r="C21" s="131">
        <v>50055</v>
      </c>
      <c r="D21" s="131"/>
      <c r="E21" s="129">
        <f t="shared" si="1"/>
        <v>50055</v>
      </c>
      <c r="F21" s="129">
        <v>50048.23</v>
      </c>
      <c r="G21" s="129">
        <v>6.77</v>
      </c>
      <c r="H21" s="130">
        <f t="shared" si="0"/>
        <v>-3.2009950245992513E-12</v>
      </c>
    </row>
    <row r="22" spans="1:11" ht="12.75" customHeight="1" x14ac:dyDescent="0.25">
      <c r="A22" s="11">
        <v>51702</v>
      </c>
      <c r="B22" s="12" t="s">
        <v>79</v>
      </c>
      <c r="C22" s="131">
        <v>7285</v>
      </c>
      <c r="D22" s="131"/>
      <c r="E22" s="129">
        <f t="shared" si="1"/>
        <v>7285</v>
      </c>
      <c r="F22" s="129">
        <v>7283.43</v>
      </c>
      <c r="G22" s="129">
        <v>1.57</v>
      </c>
      <c r="H22" s="130">
        <f t="shared" si="0"/>
        <v>-2.9110047705671604E-13</v>
      </c>
    </row>
    <row r="23" spans="1:11" ht="12.75" customHeight="1" x14ac:dyDescent="0.25">
      <c r="A23" s="11">
        <v>51903</v>
      </c>
      <c r="B23" s="12" t="s">
        <v>23</v>
      </c>
      <c r="C23" s="131">
        <v>71450</v>
      </c>
      <c r="D23" s="131"/>
      <c r="E23" s="129">
        <f t="shared" si="1"/>
        <v>71450</v>
      </c>
      <c r="F23" s="129">
        <v>49817.760000000002</v>
      </c>
      <c r="G23" s="129">
        <f>7757.24+250</f>
        <v>8007.24</v>
      </c>
      <c r="H23" s="130">
        <f t="shared" si="0"/>
        <v>13624.999999999998</v>
      </c>
    </row>
    <row r="24" spans="1:11" ht="12.75" customHeight="1" x14ac:dyDescent="0.25">
      <c r="A24" s="13"/>
      <c r="B24" s="14" t="s">
        <v>24</v>
      </c>
      <c r="C24" s="133">
        <f t="shared" ref="C24:H24" si="2">SUM(C10:C23)</f>
        <v>7902750</v>
      </c>
      <c r="D24" s="134">
        <f t="shared" si="2"/>
        <v>413883.47</v>
      </c>
      <c r="E24" s="135">
        <f t="shared" si="2"/>
        <v>8316633.4699999997</v>
      </c>
      <c r="F24" s="136">
        <f t="shared" si="2"/>
        <v>5449169.8099999996</v>
      </c>
      <c r="G24" s="137">
        <f>SUM(G10:G23)</f>
        <v>292985.43000000005</v>
      </c>
      <c r="H24" s="138">
        <f t="shared" si="2"/>
        <v>2574478.2299999995</v>
      </c>
    </row>
    <row r="25" spans="1:11" ht="12.75" customHeight="1" x14ac:dyDescent="0.25">
      <c r="A25" s="11">
        <v>54101</v>
      </c>
      <c r="B25" s="12" t="s">
        <v>25</v>
      </c>
      <c r="C25" s="131">
        <v>45470</v>
      </c>
      <c r="D25" s="131">
        <v>-4418.5</v>
      </c>
      <c r="E25" s="129">
        <f t="shared" ref="E25:E42" si="3">+C25+D25</f>
        <v>41051.5</v>
      </c>
      <c r="F25" s="129">
        <v>21545.08</v>
      </c>
      <c r="G25" s="129">
        <v>13620.3</v>
      </c>
      <c r="H25" s="130">
        <f t="shared" si="0"/>
        <v>5886.119999999999</v>
      </c>
    </row>
    <row r="26" spans="1:11" ht="12.75" customHeight="1" x14ac:dyDescent="0.25">
      <c r="A26" s="11">
        <v>54103</v>
      </c>
      <c r="B26" s="12" t="s">
        <v>26</v>
      </c>
      <c r="C26" s="131">
        <v>1200</v>
      </c>
      <c r="D26" s="131">
        <v>-63.8</v>
      </c>
      <c r="E26" s="129">
        <f t="shared" si="3"/>
        <v>1136.2</v>
      </c>
      <c r="F26" s="129">
        <v>94.35</v>
      </c>
      <c r="G26" s="129">
        <v>600</v>
      </c>
      <c r="H26" s="130">
        <f t="shared" si="0"/>
        <v>441.85000000000014</v>
      </c>
    </row>
    <row r="27" spans="1:11" ht="12.75" customHeight="1" x14ac:dyDescent="0.25">
      <c r="A27" s="11">
        <v>54104</v>
      </c>
      <c r="B27" s="12" t="s">
        <v>27</v>
      </c>
      <c r="C27" s="131">
        <v>55590</v>
      </c>
      <c r="D27" s="131">
        <v>8537.1299999999992</v>
      </c>
      <c r="E27" s="129">
        <f t="shared" si="3"/>
        <v>64127.13</v>
      </c>
      <c r="F27" s="129">
        <v>35705.68</v>
      </c>
      <c r="G27" s="129">
        <f>27815.83-27565.28</f>
        <v>250.55000000000291</v>
      </c>
      <c r="H27" s="130">
        <f t="shared" si="0"/>
        <v>28170.899999999994</v>
      </c>
    </row>
    <row r="28" spans="1:11" ht="12.75" customHeight="1" x14ac:dyDescent="0.25">
      <c r="A28" s="11">
        <v>54105</v>
      </c>
      <c r="B28" s="12" t="s">
        <v>28</v>
      </c>
      <c r="C28" s="131">
        <v>27325</v>
      </c>
      <c r="D28" s="131">
        <v>4128.99</v>
      </c>
      <c r="E28" s="129">
        <f t="shared" si="3"/>
        <v>31453.989999999998</v>
      </c>
      <c r="F28" s="129">
        <v>24086.59</v>
      </c>
      <c r="G28" s="129">
        <f>9508.3-8340.9</f>
        <v>1167.3999999999996</v>
      </c>
      <c r="H28" s="130">
        <f t="shared" si="0"/>
        <v>6199.9999999999982</v>
      </c>
      <c r="K28" s="15"/>
    </row>
    <row r="29" spans="1:11" ht="12.75" customHeight="1" x14ac:dyDescent="0.25">
      <c r="A29" s="11">
        <v>54106</v>
      </c>
      <c r="B29" s="12" t="s">
        <v>29</v>
      </c>
      <c r="C29" s="131">
        <v>225</v>
      </c>
      <c r="D29" s="131">
        <v>482.45</v>
      </c>
      <c r="E29" s="129">
        <f t="shared" si="3"/>
        <v>707.45</v>
      </c>
      <c r="F29" s="129">
        <v>671</v>
      </c>
      <c r="G29" s="129">
        <f>72.9-36.45</f>
        <v>36.450000000000003</v>
      </c>
      <c r="H29" s="130">
        <f t="shared" si="0"/>
        <v>0</v>
      </c>
    </row>
    <row r="30" spans="1:11" ht="12.75" customHeight="1" x14ac:dyDescent="0.25">
      <c r="A30" s="11">
        <v>54107</v>
      </c>
      <c r="B30" s="12" t="s">
        <v>30</v>
      </c>
      <c r="C30" s="131">
        <v>25105</v>
      </c>
      <c r="D30" s="131">
        <v>-3783.57</v>
      </c>
      <c r="E30" s="129">
        <f t="shared" si="3"/>
        <v>21321.43</v>
      </c>
      <c r="F30" s="129">
        <v>13740.16</v>
      </c>
      <c r="G30" s="129">
        <v>5850.5</v>
      </c>
      <c r="H30" s="130">
        <f t="shared" si="0"/>
        <v>1730.7700000000004</v>
      </c>
    </row>
    <row r="31" spans="1:11" ht="12.75" customHeight="1" x14ac:dyDescent="0.25">
      <c r="A31" s="11">
        <v>54108</v>
      </c>
      <c r="B31" s="12" t="s">
        <v>31</v>
      </c>
      <c r="C31" s="131">
        <v>17645</v>
      </c>
      <c r="D31" s="131">
        <v>-2541.9</v>
      </c>
      <c r="E31" s="129">
        <f t="shared" si="3"/>
        <v>15103.1</v>
      </c>
      <c r="F31" s="129">
        <v>10545.21</v>
      </c>
      <c r="G31" s="129">
        <v>2853</v>
      </c>
      <c r="H31" s="130">
        <f t="shared" si="0"/>
        <v>1704.8900000000012</v>
      </c>
    </row>
    <row r="32" spans="1:11" ht="12.75" customHeight="1" x14ac:dyDescent="0.25">
      <c r="A32" s="11">
        <v>54109</v>
      </c>
      <c r="B32" s="12" t="s">
        <v>32</v>
      </c>
      <c r="C32" s="131">
        <v>7140</v>
      </c>
      <c r="D32" s="131">
        <v>-309.88</v>
      </c>
      <c r="E32" s="129">
        <f t="shared" si="3"/>
        <v>6830.12</v>
      </c>
      <c r="F32" s="129">
        <v>3630.12</v>
      </c>
      <c r="G32" s="129">
        <v>0</v>
      </c>
      <c r="H32" s="130">
        <f t="shared" si="0"/>
        <v>3200</v>
      </c>
    </row>
    <row r="33" spans="1:12" ht="12.75" customHeight="1" x14ac:dyDescent="0.25">
      <c r="A33" s="11">
        <v>54110</v>
      </c>
      <c r="B33" s="12" t="s">
        <v>33</v>
      </c>
      <c r="C33" s="131">
        <v>57710</v>
      </c>
      <c r="D33" s="131">
        <v>-60.12</v>
      </c>
      <c r="E33" s="129">
        <f t="shared" si="3"/>
        <v>57649.88</v>
      </c>
      <c r="F33" s="129">
        <v>57230.25</v>
      </c>
      <c r="G33" s="129">
        <f>671.88-252.25</f>
        <v>419.63</v>
      </c>
      <c r="H33" s="130">
        <f t="shared" si="0"/>
        <v>-2.6147972675971687E-12</v>
      </c>
    </row>
    <row r="34" spans="1:12" ht="12.75" customHeight="1" x14ac:dyDescent="0.25">
      <c r="A34" s="11">
        <v>54111</v>
      </c>
      <c r="B34" s="12" t="s">
        <v>34</v>
      </c>
      <c r="C34" s="131">
        <v>925</v>
      </c>
      <c r="D34" s="131">
        <v>-24</v>
      </c>
      <c r="E34" s="129">
        <f t="shared" si="3"/>
        <v>901</v>
      </c>
      <c r="F34" s="129">
        <v>556.1</v>
      </c>
      <c r="G34" s="129">
        <v>216.05</v>
      </c>
      <c r="H34" s="130">
        <f t="shared" si="0"/>
        <v>128.84999999999997</v>
      </c>
      <c r="L34" s="16"/>
    </row>
    <row r="35" spans="1:12" ht="12.75" customHeight="1" x14ac:dyDescent="0.25">
      <c r="A35" s="11">
        <v>54112</v>
      </c>
      <c r="B35" s="12" t="s">
        <v>35</v>
      </c>
      <c r="C35" s="131">
        <v>2500</v>
      </c>
      <c r="D35" s="131">
        <v>164.46</v>
      </c>
      <c r="E35" s="129">
        <f t="shared" si="3"/>
        <v>2664.46</v>
      </c>
      <c r="F35" s="129">
        <v>1446.05</v>
      </c>
      <c r="G35" s="129">
        <v>593.41</v>
      </c>
      <c r="H35" s="130">
        <f t="shared" si="0"/>
        <v>625.00000000000011</v>
      </c>
      <c r="L35" s="16"/>
    </row>
    <row r="36" spans="1:12" ht="12.75" customHeight="1" x14ac:dyDescent="0.25">
      <c r="A36" s="11">
        <v>54113</v>
      </c>
      <c r="B36" s="12" t="s">
        <v>36</v>
      </c>
      <c r="C36" s="131">
        <v>1060</v>
      </c>
      <c r="D36" s="131">
        <v>13364.5</v>
      </c>
      <c r="E36" s="129">
        <f t="shared" si="3"/>
        <v>14424.5</v>
      </c>
      <c r="F36" s="129">
        <v>14144.5</v>
      </c>
      <c r="G36" s="129">
        <v>0</v>
      </c>
      <c r="H36" s="130">
        <f t="shared" si="0"/>
        <v>280</v>
      </c>
      <c r="L36" s="16"/>
    </row>
    <row r="37" spans="1:12" ht="12.75" customHeight="1" x14ac:dyDescent="0.25">
      <c r="A37" s="11">
        <v>54114</v>
      </c>
      <c r="B37" s="12" t="s">
        <v>37</v>
      </c>
      <c r="C37" s="131">
        <v>7275</v>
      </c>
      <c r="D37" s="131">
        <v>116.78</v>
      </c>
      <c r="E37" s="129">
        <f t="shared" si="3"/>
        <v>7391.78</v>
      </c>
      <c r="F37" s="129">
        <v>5299.45</v>
      </c>
      <c r="G37" s="129">
        <v>2.33</v>
      </c>
      <c r="H37" s="130">
        <f t="shared" si="0"/>
        <v>2090</v>
      </c>
    </row>
    <row r="38" spans="1:12" ht="12.75" customHeight="1" x14ac:dyDescent="0.25">
      <c r="A38" s="11">
        <v>54115</v>
      </c>
      <c r="B38" s="12" t="s">
        <v>38</v>
      </c>
      <c r="C38" s="131">
        <v>4195</v>
      </c>
      <c r="D38" s="131">
        <v>1447.6</v>
      </c>
      <c r="E38" s="129">
        <f t="shared" si="3"/>
        <v>5642.6</v>
      </c>
      <c r="F38" s="129">
        <v>4979</v>
      </c>
      <c r="G38" s="129">
        <v>19.5</v>
      </c>
      <c r="H38" s="130">
        <f t="shared" si="0"/>
        <v>644.10000000000036</v>
      </c>
    </row>
    <row r="39" spans="1:12" ht="12.75" customHeight="1" x14ac:dyDescent="0.25">
      <c r="A39" s="11">
        <v>54116</v>
      </c>
      <c r="B39" s="12" t="s">
        <v>39</v>
      </c>
      <c r="C39" s="131">
        <v>800</v>
      </c>
      <c r="D39" s="131"/>
      <c r="E39" s="129">
        <f t="shared" si="3"/>
        <v>800</v>
      </c>
      <c r="F39" s="129">
        <v>0</v>
      </c>
      <c r="G39" s="129">
        <v>500</v>
      </c>
      <c r="H39" s="130">
        <f t="shared" si="0"/>
        <v>300</v>
      </c>
    </row>
    <row r="40" spans="1:12" ht="12.75" customHeight="1" x14ac:dyDescent="0.25">
      <c r="A40" s="11">
        <v>54118</v>
      </c>
      <c r="B40" s="12" t="s">
        <v>40</v>
      </c>
      <c r="C40" s="131">
        <v>2414</v>
      </c>
      <c r="D40" s="131">
        <v>191.6</v>
      </c>
      <c r="E40" s="129">
        <f t="shared" si="3"/>
        <v>2605.6</v>
      </c>
      <c r="F40" s="129">
        <v>477.11</v>
      </c>
      <c r="G40" s="129">
        <v>1423.3</v>
      </c>
      <c r="H40" s="130">
        <f t="shared" si="0"/>
        <v>705.18999999999983</v>
      </c>
    </row>
    <row r="41" spans="1:12" ht="12.75" customHeight="1" x14ac:dyDescent="0.25">
      <c r="A41" s="11">
        <v>54119</v>
      </c>
      <c r="B41" s="12" t="s">
        <v>41</v>
      </c>
      <c r="C41" s="131">
        <v>2600</v>
      </c>
      <c r="D41" s="131">
        <v>176.04</v>
      </c>
      <c r="E41" s="129">
        <f t="shared" si="3"/>
        <v>2776.04</v>
      </c>
      <c r="F41" s="129">
        <v>1526.04</v>
      </c>
      <c r="G41" s="129">
        <v>0</v>
      </c>
      <c r="H41" s="130">
        <f t="shared" si="0"/>
        <v>1250</v>
      </c>
    </row>
    <row r="42" spans="1:12" ht="12.75" customHeight="1" thickBot="1" x14ac:dyDescent="0.3">
      <c r="A42" s="17">
        <v>54199</v>
      </c>
      <c r="B42" s="18" t="s">
        <v>42</v>
      </c>
      <c r="C42" s="139">
        <v>987925</v>
      </c>
      <c r="D42" s="139">
        <v>-416555.78</v>
      </c>
      <c r="E42" s="129">
        <f t="shared" si="3"/>
        <v>571369.22</v>
      </c>
      <c r="F42" s="129">
        <v>512016.48</v>
      </c>
      <c r="G42" s="129">
        <f>61227.36-31790.03</f>
        <v>29437.33</v>
      </c>
      <c r="H42" s="140">
        <f t="shared" si="0"/>
        <v>29915.409999999989</v>
      </c>
    </row>
    <row r="43" spans="1:12" ht="12.75" customHeight="1" thickBot="1" x14ac:dyDescent="0.3">
      <c r="A43" s="19"/>
      <c r="B43" s="20" t="s">
        <v>43</v>
      </c>
      <c r="C43" s="141">
        <f>SUM(C25:C42)</f>
        <v>1247104</v>
      </c>
      <c r="D43" s="141">
        <f>SUM(D25:D42)</f>
        <v>-399148</v>
      </c>
      <c r="E43" s="141">
        <f>SUM(E25:E42)</f>
        <v>847955.99999999988</v>
      </c>
      <c r="F43" s="141">
        <f>SUM(F25:F42)</f>
        <v>707693.16999999993</v>
      </c>
      <c r="G43" s="141">
        <f>SUM(G25:G42)</f>
        <v>56989.750000000007</v>
      </c>
      <c r="H43" s="142">
        <f t="shared" si="0"/>
        <v>83273.079999999958</v>
      </c>
    </row>
    <row r="44" spans="1:12" ht="12.75" customHeight="1" x14ac:dyDescent="0.25">
      <c r="A44" s="21"/>
      <c r="B44" s="22"/>
      <c r="C44" s="143"/>
      <c r="D44" s="143"/>
      <c r="E44" s="143"/>
      <c r="F44" s="143"/>
      <c r="G44" s="143"/>
      <c r="H44" s="144"/>
    </row>
    <row r="45" spans="1:12" ht="12.75" customHeight="1" x14ac:dyDescent="0.25">
      <c r="A45" s="21"/>
      <c r="B45" s="22"/>
      <c r="C45" s="143"/>
      <c r="D45" s="143"/>
      <c r="E45" s="143"/>
      <c r="F45" s="143"/>
      <c r="G45" s="143"/>
      <c r="H45" s="144"/>
    </row>
    <row r="46" spans="1:12" ht="12.75" customHeight="1" thickBot="1" x14ac:dyDescent="0.3">
      <c r="A46" s="21"/>
      <c r="B46" s="22"/>
      <c r="C46" s="143"/>
      <c r="D46" s="143"/>
      <c r="E46" s="143"/>
      <c r="F46" s="143"/>
      <c r="G46" s="143"/>
      <c r="H46" s="144"/>
    </row>
    <row r="47" spans="1:12" ht="12.75" customHeight="1" thickBot="1" x14ac:dyDescent="0.3">
      <c r="A47" s="3" t="s">
        <v>5</v>
      </c>
      <c r="B47" s="4" t="s">
        <v>6</v>
      </c>
      <c r="C47" s="23" t="s">
        <v>7</v>
      </c>
      <c r="D47" s="5" t="s">
        <v>8</v>
      </c>
      <c r="E47" s="63" t="s">
        <v>44</v>
      </c>
      <c r="F47" s="64" t="s">
        <v>10</v>
      </c>
      <c r="G47" s="24" t="s">
        <v>11</v>
      </c>
      <c r="H47" s="36" t="s">
        <v>12</v>
      </c>
    </row>
    <row r="48" spans="1:12" ht="12.75" customHeight="1" x14ac:dyDescent="0.25">
      <c r="A48" s="25">
        <v>54201</v>
      </c>
      <c r="B48" s="26" t="s">
        <v>45</v>
      </c>
      <c r="C48" s="145">
        <v>197345</v>
      </c>
      <c r="D48" s="145">
        <v>-5944.62</v>
      </c>
      <c r="E48" s="129">
        <f>+C48+D48</f>
        <v>191400.38</v>
      </c>
      <c r="F48" s="129">
        <v>86083</v>
      </c>
      <c r="G48" s="129">
        <v>33105.769999999997</v>
      </c>
      <c r="H48" s="146">
        <f t="shared" si="0"/>
        <v>72211.610000000015</v>
      </c>
    </row>
    <row r="49" spans="1:8" ht="12.75" customHeight="1" x14ac:dyDescent="0.25">
      <c r="A49" s="11">
        <v>54202</v>
      </c>
      <c r="B49" s="12" t="s">
        <v>46</v>
      </c>
      <c r="C49" s="131">
        <v>42600</v>
      </c>
      <c r="D49" s="131">
        <v>-90.78</v>
      </c>
      <c r="E49" s="129">
        <f>+C49+D49</f>
        <v>42509.22</v>
      </c>
      <c r="F49" s="129">
        <v>9018.75</v>
      </c>
      <c r="G49" s="129">
        <v>15349.41</v>
      </c>
      <c r="H49" s="130">
        <f t="shared" si="0"/>
        <v>18141.060000000001</v>
      </c>
    </row>
    <row r="50" spans="1:8" ht="12.75" customHeight="1" x14ac:dyDescent="0.25">
      <c r="A50" s="17">
        <v>54203</v>
      </c>
      <c r="B50" s="18" t="s">
        <v>47</v>
      </c>
      <c r="C50" s="139">
        <v>146650</v>
      </c>
      <c r="D50" s="139">
        <v>4686.96</v>
      </c>
      <c r="E50" s="129">
        <f>+C50+D50</f>
        <v>151336.95999999999</v>
      </c>
      <c r="F50" s="129">
        <v>103173.24</v>
      </c>
      <c r="G50" s="129">
        <v>16846.96</v>
      </c>
      <c r="H50" s="140">
        <f t="shared" si="0"/>
        <v>31316.759999999987</v>
      </c>
    </row>
    <row r="51" spans="1:8" ht="12.75" customHeight="1" x14ac:dyDescent="0.25">
      <c r="A51" s="11">
        <v>54204</v>
      </c>
      <c r="B51" s="12" t="s">
        <v>48</v>
      </c>
      <c r="C51" s="131">
        <v>1200</v>
      </c>
      <c r="D51" s="131">
        <v>0</v>
      </c>
      <c r="E51" s="129">
        <f>+C51+D51</f>
        <v>1200</v>
      </c>
      <c r="F51" s="129">
        <v>0</v>
      </c>
      <c r="G51" s="129">
        <v>600</v>
      </c>
      <c r="H51" s="147">
        <f t="shared" si="0"/>
        <v>600</v>
      </c>
    </row>
    <row r="52" spans="1:8" ht="12.75" customHeight="1" x14ac:dyDescent="0.25">
      <c r="A52" s="27"/>
      <c r="B52" s="14" t="s">
        <v>43</v>
      </c>
      <c r="C52" s="134">
        <f>SUM(C48:C51)</f>
        <v>387795</v>
      </c>
      <c r="D52" s="134">
        <f>SUM(D48:D51)</f>
        <v>-1348.4399999999996</v>
      </c>
      <c r="E52" s="134">
        <f>SUM(E48:E51)</f>
        <v>386446.56</v>
      </c>
      <c r="F52" s="134">
        <f>SUM(F48:F51)</f>
        <v>198274.99</v>
      </c>
      <c r="G52" s="134">
        <f>SUM(G48:G51)</f>
        <v>65902.139999999985</v>
      </c>
      <c r="H52" s="148">
        <f t="shared" si="0"/>
        <v>122269.43000000002</v>
      </c>
    </row>
    <row r="53" spans="1:8" ht="12.75" customHeight="1" x14ac:dyDescent="0.25">
      <c r="A53" s="11">
        <v>54301</v>
      </c>
      <c r="B53" s="12" t="s">
        <v>49</v>
      </c>
      <c r="C53" s="131">
        <v>32600</v>
      </c>
      <c r="D53" s="131">
        <v>-2196.5100000000002</v>
      </c>
      <c r="E53" s="129">
        <f t="shared" ref="E53:E64" si="4">+C53+D53</f>
        <v>30403.489999999998</v>
      </c>
      <c r="F53" s="129">
        <v>20697.599999999999</v>
      </c>
      <c r="G53" s="129">
        <v>7498.25</v>
      </c>
      <c r="H53" s="147">
        <f t="shared" si="0"/>
        <v>2207.6399999999994</v>
      </c>
    </row>
    <row r="54" spans="1:8" ht="12.75" customHeight="1" x14ac:dyDescent="0.25">
      <c r="A54" s="9">
        <v>54302</v>
      </c>
      <c r="B54" s="10" t="s">
        <v>50</v>
      </c>
      <c r="C54" s="129">
        <v>63000</v>
      </c>
      <c r="D54" s="129">
        <v>272.86</v>
      </c>
      <c r="E54" s="129">
        <f t="shared" si="4"/>
        <v>63272.86</v>
      </c>
      <c r="F54" s="129">
        <v>51357.84</v>
      </c>
      <c r="G54" s="129">
        <v>6095.75</v>
      </c>
      <c r="H54" s="130">
        <f t="shared" si="0"/>
        <v>5819.2700000000041</v>
      </c>
    </row>
    <row r="55" spans="1:8" ht="12.75" customHeight="1" x14ac:dyDescent="0.25">
      <c r="A55" s="11">
        <v>54304</v>
      </c>
      <c r="B55" s="12" t="s">
        <v>51</v>
      </c>
      <c r="C55" s="131">
        <v>4500</v>
      </c>
      <c r="D55" s="131">
        <v>0</v>
      </c>
      <c r="E55" s="129">
        <f t="shared" si="4"/>
        <v>4500</v>
      </c>
      <c r="F55" s="129">
        <v>0</v>
      </c>
      <c r="G55" s="129">
        <v>0</v>
      </c>
      <c r="H55" s="147">
        <f t="shared" si="0"/>
        <v>4500</v>
      </c>
    </row>
    <row r="56" spans="1:8" ht="12.75" customHeight="1" x14ac:dyDescent="0.25">
      <c r="A56" s="11">
        <v>54305</v>
      </c>
      <c r="B56" s="12" t="s">
        <v>52</v>
      </c>
      <c r="C56" s="131">
        <v>44600</v>
      </c>
      <c r="D56" s="131">
        <v>-15236.3</v>
      </c>
      <c r="E56" s="129">
        <f t="shared" si="4"/>
        <v>29363.7</v>
      </c>
      <c r="F56" s="129">
        <v>0</v>
      </c>
      <c r="G56" s="129">
        <v>7073.7</v>
      </c>
      <c r="H56" s="147">
        <f t="shared" si="0"/>
        <v>22290</v>
      </c>
    </row>
    <row r="57" spans="1:8" ht="12.75" customHeight="1" x14ac:dyDescent="0.25">
      <c r="A57" s="11">
        <v>54306</v>
      </c>
      <c r="B57" s="12" t="s">
        <v>53</v>
      </c>
      <c r="C57" s="131">
        <v>4300</v>
      </c>
      <c r="D57" s="131">
        <v>20</v>
      </c>
      <c r="E57" s="129">
        <f t="shared" si="4"/>
        <v>4320</v>
      </c>
      <c r="F57" s="129">
        <v>4320</v>
      </c>
      <c r="G57" s="129">
        <v>0</v>
      </c>
      <c r="H57" s="147">
        <f t="shared" si="0"/>
        <v>0</v>
      </c>
    </row>
    <row r="58" spans="1:8" ht="12.75" customHeight="1" x14ac:dyDescent="0.25">
      <c r="A58" s="11">
        <v>54307</v>
      </c>
      <c r="B58" s="12" t="s">
        <v>54</v>
      </c>
      <c r="C58" s="131">
        <v>6500</v>
      </c>
      <c r="D58" s="131">
        <v>420</v>
      </c>
      <c r="E58" s="129">
        <f t="shared" si="4"/>
        <v>6920</v>
      </c>
      <c r="F58" s="129">
        <v>6450</v>
      </c>
      <c r="G58" s="129">
        <v>0</v>
      </c>
      <c r="H58" s="147">
        <f t="shared" si="0"/>
        <v>470</v>
      </c>
    </row>
    <row r="59" spans="1:8" ht="12.75" customHeight="1" x14ac:dyDescent="0.25">
      <c r="A59" s="11">
        <v>54308</v>
      </c>
      <c r="B59" s="12" t="s">
        <v>55</v>
      </c>
      <c r="C59" s="131">
        <v>500</v>
      </c>
      <c r="D59" s="131">
        <v>0</v>
      </c>
      <c r="E59" s="129">
        <f t="shared" si="4"/>
        <v>500</v>
      </c>
      <c r="F59" s="129">
        <v>0</v>
      </c>
      <c r="G59" s="129"/>
      <c r="H59" s="147">
        <f t="shared" si="0"/>
        <v>500</v>
      </c>
    </row>
    <row r="60" spans="1:8" ht="12.75" customHeight="1" x14ac:dyDescent="0.25">
      <c r="A60" s="11">
        <v>54313</v>
      </c>
      <c r="B60" s="12" t="s">
        <v>56</v>
      </c>
      <c r="C60" s="131">
        <v>37130</v>
      </c>
      <c r="D60" s="131">
        <v>-2450.4699999999998</v>
      </c>
      <c r="E60" s="129">
        <f t="shared" si="4"/>
        <v>34679.53</v>
      </c>
      <c r="F60" s="129">
        <v>8260.5</v>
      </c>
      <c r="G60" s="129">
        <f>56127.5-36494</f>
        <v>19633.5</v>
      </c>
      <c r="H60" s="147">
        <f t="shared" si="0"/>
        <v>6785.5299999999988</v>
      </c>
    </row>
    <row r="61" spans="1:8" ht="12.75" customHeight="1" x14ac:dyDescent="0.25">
      <c r="A61" s="11">
        <v>54314</v>
      </c>
      <c r="B61" s="12" t="s">
        <v>57</v>
      </c>
      <c r="C61" s="131">
        <v>35810</v>
      </c>
      <c r="D61" s="131">
        <v>1163.8499999999999</v>
      </c>
      <c r="E61" s="129">
        <f t="shared" si="4"/>
        <v>36973.85</v>
      </c>
      <c r="F61" s="129">
        <v>728.25</v>
      </c>
      <c r="G61" s="129">
        <f>39141.2-34495.6</f>
        <v>4645.5999999999985</v>
      </c>
      <c r="H61" s="147">
        <f t="shared" si="0"/>
        <v>31600</v>
      </c>
    </row>
    <row r="62" spans="1:8" ht="12.75" customHeight="1" x14ac:dyDescent="0.25">
      <c r="A62" s="11">
        <v>54316</v>
      </c>
      <c r="B62" s="12" t="s">
        <v>58</v>
      </c>
      <c r="C62" s="131">
        <v>25000</v>
      </c>
      <c r="D62" s="131">
        <v>0</v>
      </c>
      <c r="E62" s="129">
        <f t="shared" si="4"/>
        <v>25000</v>
      </c>
      <c r="F62" s="129">
        <v>23007.95</v>
      </c>
      <c r="G62" s="129">
        <v>606.45000000000005</v>
      </c>
      <c r="H62" s="147">
        <f t="shared" si="0"/>
        <v>1385.5999999999992</v>
      </c>
    </row>
    <row r="63" spans="1:8" ht="12.75" customHeight="1" x14ac:dyDescent="0.25">
      <c r="A63" s="11">
        <v>54317</v>
      </c>
      <c r="B63" s="12" t="s">
        <v>59</v>
      </c>
      <c r="C63" s="131">
        <v>598270</v>
      </c>
      <c r="D63" s="131">
        <v>3719.55</v>
      </c>
      <c r="E63" s="129">
        <f t="shared" si="4"/>
        <v>601989.55000000005</v>
      </c>
      <c r="F63" s="129">
        <v>585064.92000000004</v>
      </c>
      <c r="G63" s="129">
        <v>7002.52</v>
      </c>
      <c r="H63" s="147">
        <f t="shared" si="0"/>
        <v>9922.1100000000042</v>
      </c>
    </row>
    <row r="64" spans="1:8" ht="12.75" customHeight="1" x14ac:dyDescent="0.25">
      <c r="A64" s="11">
        <v>54399</v>
      </c>
      <c r="B64" s="12" t="s">
        <v>60</v>
      </c>
      <c r="C64" s="131">
        <v>44460</v>
      </c>
      <c r="D64" s="131">
        <v>20895.349999999999</v>
      </c>
      <c r="E64" s="129">
        <f t="shared" si="4"/>
        <v>65355.35</v>
      </c>
      <c r="F64" s="129">
        <v>56390.43</v>
      </c>
      <c r="G64" s="129">
        <v>1144.2</v>
      </c>
      <c r="H64" s="147">
        <f t="shared" si="0"/>
        <v>7820.7199999999984</v>
      </c>
    </row>
    <row r="65" spans="1:10" ht="12.75" customHeight="1" x14ac:dyDescent="0.25">
      <c r="A65" s="27"/>
      <c r="B65" s="14" t="s">
        <v>43</v>
      </c>
      <c r="C65" s="134">
        <f>SUM(C53:C64)</f>
        <v>896670</v>
      </c>
      <c r="D65" s="134">
        <f>SUM(D53:D64)</f>
        <v>6608.3299999999945</v>
      </c>
      <c r="E65" s="134">
        <f>SUM(E53:E64)</f>
        <v>903278.33</v>
      </c>
      <c r="F65" s="134">
        <f>SUM(F53:F64)</f>
        <v>756277.49000000011</v>
      </c>
      <c r="G65" s="134">
        <f>SUM(G53:G64)</f>
        <v>53699.969999999987</v>
      </c>
      <c r="H65" s="148">
        <f t="shared" si="0"/>
        <v>93300.869999999864</v>
      </c>
    </row>
    <row r="66" spans="1:10" ht="12.75" customHeight="1" x14ac:dyDescent="0.25">
      <c r="A66" s="11">
        <v>54402</v>
      </c>
      <c r="B66" s="12" t="s">
        <v>61</v>
      </c>
      <c r="C66" s="131">
        <v>11035</v>
      </c>
      <c r="D66" s="131">
        <v>-491</v>
      </c>
      <c r="E66" s="129">
        <f>+C66+D66</f>
        <v>10544</v>
      </c>
      <c r="F66" s="129">
        <v>3632.4</v>
      </c>
      <c r="G66" s="131">
        <f>10000-8000</f>
        <v>2000</v>
      </c>
      <c r="H66" s="147">
        <f t="shared" si="0"/>
        <v>4911.6000000000004</v>
      </c>
    </row>
    <row r="67" spans="1:10" ht="12.75" customHeight="1" x14ac:dyDescent="0.25">
      <c r="A67" s="11">
        <v>54403</v>
      </c>
      <c r="B67" s="12" t="s">
        <v>62</v>
      </c>
      <c r="C67" s="131">
        <v>11460</v>
      </c>
      <c r="D67" s="131">
        <v>51</v>
      </c>
      <c r="E67" s="129">
        <f>+C67+D67</f>
        <v>11511</v>
      </c>
      <c r="F67" s="129">
        <v>2538</v>
      </c>
      <c r="G67" s="129">
        <v>3832</v>
      </c>
      <c r="H67" s="147">
        <f t="shared" si="0"/>
        <v>5141</v>
      </c>
    </row>
    <row r="68" spans="1:10" ht="12.75" customHeight="1" x14ac:dyDescent="0.25">
      <c r="A68" s="11">
        <v>54404</v>
      </c>
      <c r="B68" s="12" t="s">
        <v>63</v>
      </c>
      <c r="C68" s="131">
        <v>20000</v>
      </c>
      <c r="D68" s="131">
        <v>1325</v>
      </c>
      <c r="E68" s="129">
        <f>+C68+D68</f>
        <v>21325</v>
      </c>
      <c r="F68" s="129">
        <v>2235</v>
      </c>
      <c r="G68" s="129">
        <f>28180-19090</f>
        <v>9090</v>
      </c>
      <c r="H68" s="147">
        <f t="shared" si="0"/>
        <v>10000</v>
      </c>
    </row>
    <row r="69" spans="1:10" ht="12.75" customHeight="1" x14ac:dyDescent="0.25">
      <c r="A69" s="27"/>
      <c r="B69" s="14" t="s">
        <v>43</v>
      </c>
      <c r="C69" s="134">
        <f>SUM(C66:C68)</f>
        <v>42495</v>
      </c>
      <c r="D69" s="134">
        <f>SUM(D66:D68)</f>
        <v>885</v>
      </c>
      <c r="E69" s="134">
        <f>SUM(E66:E68)</f>
        <v>43380</v>
      </c>
      <c r="F69" s="134">
        <f>SUM(F66:F68)</f>
        <v>8405.4</v>
      </c>
      <c r="G69" s="134">
        <f>SUM(G66:G68)</f>
        <v>14922</v>
      </c>
      <c r="H69" s="148">
        <f t="shared" si="0"/>
        <v>20052.599999999999</v>
      </c>
    </row>
    <row r="70" spans="1:10" ht="12.75" customHeight="1" x14ac:dyDescent="0.25">
      <c r="A70" s="11">
        <v>54505</v>
      </c>
      <c r="B70" s="12" t="s">
        <v>64</v>
      </c>
      <c r="C70" s="131">
        <v>7000</v>
      </c>
      <c r="D70" s="131">
        <v>1880.16</v>
      </c>
      <c r="E70" s="129">
        <f>+C70+D70</f>
        <v>8880.16</v>
      </c>
      <c r="F70" s="129">
        <v>1880.16</v>
      </c>
      <c r="G70" s="129">
        <f>10500-7000</f>
        <v>3500</v>
      </c>
      <c r="H70" s="147">
        <f t="shared" si="0"/>
        <v>3500</v>
      </c>
    </row>
    <row r="71" spans="1:10" ht="12.75" customHeight="1" x14ac:dyDescent="0.25">
      <c r="A71" s="11">
        <v>54599</v>
      </c>
      <c r="B71" s="12" t="s">
        <v>65</v>
      </c>
      <c r="C71" s="131">
        <v>78800</v>
      </c>
      <c r="D71" s="131">
        <v>-23789.79</v>
      </c>
      <c r="E71" s="129">
        <f>+C71+D71</f>
        <v>55010.21</v>
      </c>
      <c r="F71" s="129">
        <v>0</v>
      </c>
      <c r="G71" s="129">
        <f>34125.71-33059.86</f>
        <v>1065.8499999999985</v>
      </c>
      <c r="H71" s="147">
        <f t="shared" si="0"/>
        <v>53944.36</v>
      </c>
    </row>
    <row r="72" spans="1:10" ht="12.75" customHeight="1" x14ac:dyDescent="0.25">
      <c r="A72" s="27"/>
      <c r="B72" s="14" t="s">
        <v>43</v>
      </c>
      <c r="C72" s="134">
        <f>SUM(C70:C71)</f>
        <v>85800</v>
      </c>
      <c r="D72" s="134">
        <f>SUM(D70:D71)</f>
        <v>-21909.63</v>
      </c>
      <c r="E72" s="134">
        <f>SUM(E70:E71)</f>
        <v>63890.369999999995</v>
      </c>
      <c r="F72" s="134">
        <f>SUM(F70:F71)</f>
        <v>1880.16</v>
      </c>
      <c r="G72" s="134">
        <f>SUM(G70:G71)</f>
        <v>4565.8499999999985</v>
      </c>
      <c r="H72" s="147">
        <f t="shared" si="0"/>
        <v>57444.359999999993</v>
      </c>
    </row>
    <row r="73" spans="1:10" ht="12.75" customHeight="1" x14ac:dyDescent="0.25">
      <c r="A73" s="28"/>
      <c r="B73" s="14" t="s">
        <v>24</v>
      </c>
      <c r="C73" s="134">
        <f>+C72+C69+C65+C52+C43</f>
        <v>2659864</v>
      </c>
      <c r="D73" s="134">
        <f>+D72+D69+D65+D52+D43</f>
        <v>-414912.74</v>
      </c>
      <c r="E73" s="135">
        <f>+E72+E69+E65+E52+E43</f>
        <v>2244951.2599999998</v>
      </c>
      <c r="F73" s="136">
        <f>+F72+F69+F65+F52+F43</f>
        <v>1672531.21</v>
      </c>
      <c r="G73" s="149">
        <f>+G72+G69+G65+G52+G43</f>
        <v>196079.70999999996</v>
      </c>
      <c r="H73" s="150">
        <f t="shared" si="0"/>
        <v>376340.33999999985</v>
      </c>
      <c r="J73" s="179"/>
    </row>
    <row r="74" spans="1:10" ht="12.75" customHeight="1" x14ac:dyDescent="0.25">
      <c r="A74" s="11">
        <v>55599</v>
      </c>
      <c r="B74" s="12" t="s">
        <v>66</v>
      </c>
      <c r="C74" s="131">
        <v>4710</v>
      </c>
      <c r="D74" s="131">
        <v>-1327.48</v>
      </c>
      <c r="E74" s="129">
        <f>+C74+D74</f>
        <v>3382.52</v>
      </c>
      <c r="F74" s="129">
        <v>3161.75</v>
      </c>
      <c r="G74" s="129">
        <v>220.77</v>
      </c>
      <c r="H74" s="147">
        <f t="shared" ref="H74:H100" si="5">+E74-F74-G74</f>
        <v>0</v>
      </c>
    </row>
    <row r="75" spans="1:10" ht="12.75" customHeight="1" x14ac:dyDescent="0.25">
      <c r="A75" s="27"/>
      <c r="B75" s="14" t="s">
        <v>43</v>
      </c>
      <c r="C75" s="134">
        <f>SUM(C74)</f>
        <v>4710</v>
      </c>
      <c r="D75" s="134">
        <f>SUM(D74)</f>
        <v>-1327.48</v>
      </c>
      <c r="E75" s="134">
        <f>SUM(E74)</f>
        <v>3382.52</v>
      </c>
      <c r="F75" s="134">
        <f>SUM(F74)</f>
        <v>3161.75</v>
      </c>
      <c r="G75" s="134">
        <f>SUM(G74)</f>
        <v>220.77</v>
      </c>
      <c r="H75" s="147">
        <f t="shared" si="5"/>
        <v>0</v>
      </c>
    </row>
    <row r="76" spans="1:10" ht="12.75" customHeight="1" x14ac:dyDescent="0.25">
      <c r="A76" s="11">
        <v>55601</v>
      </c>
      <c r="B76" s="12" t="s">
        <v>67</v>
      </c>
      <c r="C76" s="131">
        <v>48000</v>
      </c>
      <c r="D76" s="131">
        <v>-11975.72</v>
      </c>
      <c r="E76" s="129">
        <f>+C76+D76</f>
        <v>36024.28</v>
      </c>
      <c r="F76" s="129">
        <v>36024.28</v>
      </c>
      <c r="G76" s="129">
        <v>0</v>
      </c>
      <c r="H76" s="147">
        <f t="shared" si="5"/>
        <v>0</v>
      </c>
    </row>
    <row r="77" spans="1:10" ht="12.75" customHeight="1" x14ac:dyDescent="0.25">
      <c r="A77" s="11">
        <v>55602</v>
      </c>
      <c r="B77" s="12" t="s">
        <v>68</v>
      </c>
      <c r="C77" s="131">
        <v>26000</v>
      </c>
      <c r="D77" s="131">
        <v>14332.47</v>
      </c>
      <c r="E77" s="129">
        <f>+C77+D77</f>
        <v>40332.47</v>
      </c>
      <c r="F77" s="129">
        <v>40332.47</v>
      </c>
      <c r="G77" s="129">
        <v>0</v>
      </c>
      <c r="H77" s="147">
        <f t="shared" si="5"/>
        <v>0</v>
      </c>
    </row>
    <row r="78" spans="1:10" ht="12.75" customHeight="1" x14ac:dyDescent="0.25">
      <c r="A78" s="11">
        <v>55603</v>
      </c>
      <c r="B78" s="12" t="s">
        <v>69</v>
      </c>
      <c r="C78" s="131">
        <v>25</v>
      </c>
      <c r="D78" s="131">
        <v>0</v>
      </c>
      <c r="E78" s="129">
        <f>+C78+D78</f>
        <v>25</v>
      </c>
      <c r="F78" s="129">
        <v>25</v>
      </c>
      <c r="G78" s="131">
        <v>0</v>
      </c>
      <c r="H78" s="147">
        <f t="shared" si="5"/>
        <v>0</v>
      </c>
    </row>
    <row r="79" spans="1:10" ht="12.75" customHeight="1" x14ac:dyDescent="0.25">
      <c r="A79" s="27"/>
      <c r="B79" s="14" t="s">
        <v>43</v>
      </c>
      <c r="C79" s="134">
        <f>SUM(C76:C78)</f>
        <v>74025</v>
      </c>
      <c r="D79" s="134">
        <f>SUM(D76:D77)</f>
        <v>2356.75</v>
      </c>
      <c r="E79" s="134">
        <f>SUM(E76:E78)</f>
        <v>76381.75</v>
      </c>
      <c r="F79" s="134">
        <f>SUM(F76:F78)</f>
        <v>76381.75</v>
      </c>
      <c r="G79" s="134">
        <f>SUM(G76:G78)</f>
        <v>0</v>
      </c>
      <c r="H79" s="147">
        <f t="shared" si="5"/>
        <v>0</v>
      </c>
      <c r="I79" s="29"/>
    </row>
    <row r="80" spans="1:10" ht="12.75" customHeight="1" x14ac:dyDescent="0.25">
      <c r="A80" s="28"/>
      <c r="B80" s="14" t="s">
        <v>24</v>
      </c>
      <c r="C80" s="134">
        <f>+C79+C75</f>
        <v>78735</v>
      </c>
      <c r="D80" s="134">
        <f>+D75+D79</f>
        <v>1029.27</v>
      </c>
      <c r="E80" s="135">
        <f>+E79+E75</f>
        <v>79764.27</v>
      </c>
      <c r="F80" s="136">
        <f>+F79+F75</f>
        <v>79543.5</v>
      </c>
      <c r="G80" s="149">
        <f>+G75+G79</f>
        <v>220.77</v>
      </c>
      <c r="H80" s="150">
        <f t="shared" si="5"/>
        <v>4.0643044485477731E-12</v>
      </c>
      <c r="I80" s="29"/>
    </row>
    <row r="81" spans="1:9" s="31" customFormat="1" ht="12.75" customHeight="1" x14ac:dyDescent="0.25">
      <c r="A81" s="11">
        <v>56303</v>
      </c>
      <c r="B81" s="12" t="s">
        <v>70</v>
      </c>
      <c r="C81" s="131">
        <v>4000</v>
      </c>
      <c r="D81" s="131">
        <v>0</v>
      </c>
      <c r="E81" s="129">
        <f>+C81+D81</f>
        <v>4000</v>
      </c>
      <c r="F81" s="129">
        <v>1995.4</v>
      </c>
      <c r="G81" s="131">
        <v>4.5999999999999996</v>
      </c>
      <c r="H81" s="147">
        <f t="shared" si="5"/>
        <v>2000</v>
      </c>
      <c r="I81" s="30"/>
    </row>
    <row r="82" spans="1:9" s="31" customFormat="1" ht="12.75" customHeight="1" x14ac:dyDescent="0.25">
      <c r="A82" s="11">
        <v>56304</v>
      </c>
      <c r="B82" s="12" t="s">
        <v>71</v>
      </c>
      <c r="C82" s="131">
        <v>0</v>
      </c>
      <c r="D82" s="131">
        <v>0</v>
      </c>
      <c r="E82" s="129">
        <f>+C82+D82</f>
        <v>0</v>
      </c>
      <c r="F82" s="129">
        <v>0</v>
      </c>
      <c r="G82" s="131">
        <v>0</v>
      </c>
      <c r="H82" s="147">
        <f t="shared" si="5"/>
        <v>0</v>
      </c>
      <c r="I82" s="30"/>
    </row>
    <row r="83" spans="1:9" s="31" customFormat="1" ht="12.75" customHeight="1" x14ac:dyDescent="0.25">
      <c r="A83" s="27"/>
      <c r="B83" s="14" t="s">
        <v>43</v>
      </c>
      <c r="C83" s="134">
        <f>C82+C81</f>
        <v>4000</v>
      </c>
      <c r="D83" s="134">
        <f>SUM(D81:D82)</f>
        <v>0</v>
      </c>
      <c r="E83" s="134">
        <f>SUM(E81:E82)</f>
        <v>4000</v>
      </c>
      <c r="F83" s="134">
        <f>SUM(F81:F82)</f>
        <v>1995.4</v>
      </c>
      <c r="G83" s="134">
        <f>SUM(G81)</f>
        <v>4.5999999999999996</v>
      </c>
      <c r="H83" s="148">
        <f t="shared" si="5"/>
        <v>2000</v>
      </c>
      <c r="I83" s="30"/>
    </row>
    <row r="84" spans="1:9" s="31" customFormat="1" ht="12.75" customHeight="1" x14ac:dyDescent="0.25">
      <c r="A84" s="11"/>
      <c r="B84" s="12" t="s">
        <v>72</v>
      </c>
      <c r="C84" s="131">
        <v>5500</v>
      </c>
      <c r="D84" s="131">
        <v>0</v>
      </c>
      <c r="E84" s="129">
        <f>+C84+D84</f>
        <v>5500</v>
      </c>
      <c r="F84" s="129">
        <v>5242.17</v>
      </c>
      <c r="G84" s="131">
        <v>257.83</v>
      </c>
      <c r="H84" s="147">
        <f t="shared" si="5"/>
        <v>0</v>
      </c>
      <c r="I84" s="30"/>
    </row>
    <row r="85" spans="1:9" s="31" customFormat="1" ht="12.75" customHeight="1" thickBot="1" x14ac:dyDescent="0.3">
      <c r="A85" s="32"/>
      <c r="B85" s="33" t="s">
        <v>43</v>
      </c>
      <c r="C85" s="151">
        <f>SUM(C84)</f>
        <v>5500</v>
      </c>
      <c r="D85" s="151">
        <f>SUM(D84)</f>
        <v>0</v>
      </c>
      <c r="E85" s="151">
        <f>SUM(E84)</f>
        <v>5500</v>
      </c>
      <c r="F85" s="151">
        <f>SUM(F84)</f>
        <v>5242.17</v>
      </c>
      <c r="G85" s="151">
        <f>SUM(G84)</f>
        <v>257.83</v>
      </c>
      <c r="H85" s="152">
        <f t="shared" si="5"/>
        <v>0</v>
      </c>
      <c r="I85" s="30"/>
    </row>
    <row r="86" spans="1:9" s="31" customFormat="1" ht="12.75" customHeight="1" thickBot="1" x14ac:dyDescent="0.3">
      <c r="A86" s="34"/>
      <c r="B86" s="35" t="s">
        <v>24</v>
      </c>
      <c r="C86" s="153">
        <f t="shared" ref="C86:H86" si="6">+C83+C85</f>
        <v>9500</v>
      </c>
      <c r="D86" s="153">
        <f t="shared" si="6"/>
        <v>0</v>
      </c>
      <c r="E86" s="154">
        <f t="shared" si="6"/>
        <v>9500</v>
      </c>
      <c r="F86" s="155">
        <f t="shared" si="6"/>
        <v>7237.57</v>
      </c>
      <c r="G86" s="156">
        <f t="shared" si="6"/>
        <v>262.43</v>
      </c>
      <c r="H86" s="157">
        <f t="shared" si="6"/>
        <v>2000</v>
      </c>
      <c r="I86" s="30"/>
    </row>
    <row r="87" spans="1:9" s="31" customFormat="1" ht="12.75" customHeight="1" x14ac:dyDescent="0.25">
      <c r="A87" s="22"/>
      <c r="B87" s="22"/>
      <c r="C87" s="143"/>
      <c r="D87" s="143"/>
      <c r="E87" s="143"/>
      <c r="F87" s="143"/>
      <c r="G87" s="143"/>
      <c r="H87" s="143"/>
      <c r="I87" s="30"/>
    </row>
    <row r="88" spans="1:9" s="31" customFormat="1" ht="12.75" customHeight="1" x14ac:dyDescent="0.25">
      <c r="A88" s="22"/>
      <c r="B88" s="22"/>
      <c r="C88" s="143"/>
      <c r="D88" s="143"/>
      <c r="E88" s="143"/>
      <c r="F88" s="143"/>
      <c r="G88" s="143"/>
      <c r="H88" s="143"/>
      <c r="I88" s="30"/>
    </row>
    <row r="89" spans="1:9" s="31" customFormat="1" ht="12.75" customHeight="1" x14ac:dyDescent="0.25">
      <c r="A89" s="22"/>
      <c r="B89" s="22"/>
      <c r="C89" s="143"/>
      <c r="D89" s="143"/>
      <c r="E89" s="143"/>
      <c r="F89" s="143"/>
      <c r="G89" s="143"/>
      <c r="H89" s="143"/>
      <c r="I89" s="30"/>
    </row>
    <row r="90" spans="1:9" s="31" customFormat="1" ht="12.75" customHeight="1" thickBot="1" x14ac:dyDescent="0.3">
      <c r="A90" s="22"/>
      <c r="B90" s="22"/>
      <c r="C90" s="143"/>
      <c r="D90" s="143"/>
      <c r="E90" s="143"/>
      <c r="F90" s="143"/>
      <c r="G90" s="143"/>
      <c r="H90" s="143"/>
      <c r="I90" s="30"/>
    </row>
    <row r="91" spans="1:9" s="31" customFormat="1" ht="12.75" customHeight="1" thickBot="1" x14ac:dyDescent="0.3">
      <c r="A91" s="3" t="s">
        <v>5</v>
      </c>
      <c r="B91" s="4" t="s">
        <v>6</v>
      </c>
      <c r="C91" s="23" t="s">
        <v>7</v>
      </c>
      <c r="D91" s="5" t="s">
        <v>8</v>
      </c>
      <c r="E91" s="63" t="s">
        <v>44</v>
      </c>
      <c r="F91" s="64" t="s">
        <v>10</v>
      </c>
      <c r="G91" s="24" t="s">
        <v>11</v>
      </c>
      <c r="H91" s="36" t="s">
        <v>12</v>
      </c>
      <c r="I91" s="30"/>
    </row>
    <row r="92" spans="1:9" s="40" customFormat="1" ht="12.75" customHeight="1" x14ac:dyDescent="0.2">
      <c r="A92" s="37">
        <v>61101</v>
      </c>
      <c r="B92" s="38" t="s">
        <v>73</v>
      </c>
      <c r="C92" s="158">
        <v>3060</v>
      </c>
      <c r="D92" s="158">
        <v>1088.9000000000001</v>
      </c>
      <c r="E92" s="145">
        <f t="shared" ref="E92:E97" si="7">+C92+D92</f>
        <v>4148.8999999999996</v>
      </c>
      <c r="F92" s="145">
        <v>0</v>
      </c>
      <c r="G92" s="158">
        <v>0</v>
      </c>
      <c r="H92" s="146">
        <f t="shared" si="5"/>
        <v>4148.8999999999996</v>
      </c>
      <c r="I92" s="39"/>
    </row>
    <row r="93" spans="1:9" s="40" customFormat="1" ht="12.75" customHeight="1" x14ac:dyDescent="0.2">
      <c r="A93" s="27">
        <v>61102</v>
      </c>
      <c r="B93" s="41" t="s">
        <v>74</v>
      </c>
      <c r="C93" s="132">
        <v>6760</v>
      </c>
      <c r="D93" s="132">
        <v>1447.32</v>
      </c>
      <c r="E93" s="129">
        <f t="shared" si="7"/>
        <v>8207.32</v>
      </c>
      <c r="F93" s="129">
        <v>7187.5</v>
      </c>
      <c r="G93" s="132">
        <v>0</v>
      </c>
      <c r="H93" s="147">
        <f t="shared" si="5"/>
        <v>1019.8199999999997</v>
      </c>
      <c r="I93" s="39"/>
    </row>
    <row r="94" spans="1:9" s="40" customFormat="1" ht="12.75" customHeight="1" x14ac:dyDescent="0.2">
      <c r="A94" s="27">
        <v>61103</v>
      </c>
      <c r="B94" s="41" t="s">
        <v>75</v>
      </c>
      <c r="C94" s="132">
        <v>500</v>
      </c>
      <c r="D94" s="132">
        <v>-500</v>
      </c>
      <c r="E94" s="129">
        <f t="shared" si="7"/>
        <v>0</v>
      </c>
      <c r="F94" s="129">
        <v>0</v>
      </c>
      <c r="G94" s="132">
        <v>0</v>
      </c>
      <c r="H94" s="147">
        <f t="shared" si="5"/>
        <v>0</v>
      </c>
      <c r="I94" s="39"/>
    </row>
    <row r="95" spans="1:9" s="40" customFormat="1" ht="12.75" customHeight="1" x14ac:dyDescent="0.2">
      <c r="A95" s="27">
        <v>61104</v>
      </c>
      <c r="B95" s="41" t="s">
        <v>76</v>
      </c>
      <c r="C95" s="132">
        <v>16000</v>
      </c>
      <c r="D95" s="132">
        <v>-11369.94</v>
      </c>
      <c r="E95" s="129">
        <f t="shared" si="7"/>
        <v>4630.0599999999995</v>
      </c>
      <c r="F95" s="129">
        <v>3014.8</v>
      </c>
      <c r="G95" s="132">
        <v>0</v>
      </c>
      <c r="H95" s="147">
        <f t="shared" si="5"/>
        <v>1615.2599999999993</v>
      </c>
      <c r="I95" s="39"/>
    </row>
    <row r="96" spans="1:9" s="31" customFormat="1" ht="12.75" customHeight="1" x14ac:dyDescent="0.25">
      <c r="A96" s="11">
        <v>61108</v>
      </c>
      <c r="B96" s="12" t="s">
        <v>40</v>
      </c>
      <c r="C96" s="131">
        <v>1000</v>
      </c>
      <c r="D96" s="131">
        <v>-1000</v>
      </c>
      <c r="E96" s="129">
        <f t="shared" si="7"/>
        <v>0</v>
      </c>
      <c r="F96" s="129">
        <v>0</v>
      </c>
      <c r="G96" s="131">
        <v>0</v>
      </c>
      <c r="H96" s="147">
        <f t="shared" si="5"/>
        <v>0</v>
      </c>
      <c r="I96" s="30"/>
    </row>
    <row r="97" spans="1:10" s="31" customFormat="1" ht="12.75" customHeight="1" x14ac:dyDescent="0.25">
      <c r="A97" s="11">
        <v>61199</v>
      </c>
      <c r="B97" s="12" t="s">
        <v>82</v>
      </c>
      <c r="C97" s="131">
        <v>0</v>
      </c>
      <c r="D97" s="131">
        <v>125</v>
      </c>
      <c r="E97" s="129">
        <f t="shared" si="7"/>
        <v>125</v>
      </c>
      <c r="F97" s="129">
        <v>125</v>
      </c>
      <c r="G97" s="131">
        <v>0</v>
      </c>
      <c r="H97" s="147">
        <v>0</v>
      </c>
      <c r="I97" s="30"/>
    </row>
    <row r="98" spans="1:10" s="31" customFormat="1" ht="12.75" customHeight="1" x14ac:dyDescent="0.25">
      <c r="A98" s="27"/>
      <c r="B98" s="14" t="s">
        <v>43</v>
      </c>
      <c r="C98" s="134">
        <f t="shared" ref="C98:H98" si="8">SUM(C92:C97)</f>
        <v>27320</v>
      </c>
      <c r="D98" s="134">
        <f t="shared" si="8"/>
        <v>-10208.720000000001</v>
      </c>
      <c r="E98" s="134">
        <f t="shared" si="8"/>
        <v>17111.28</v>
      </c>
      <c r="F98" s="134">
        <f t="shared" si="8"/>
        <v>10327.299999999999</v>
      </c>
      <c r="G98" s="134">
        <f t="shared" si="8"/>
        <v>0</v>
      </c>
      <c r="H98" s="148">
        <f t="shared" si="8"/>
        <v>6783.9799999999987</v>
      </c>
      <c r="I98" s="30"/>
    </row>
    <row r="99" spans="1:10" s="31" customFormat="1" ht="12.75" customHeight="1" x14ac:dyDescent="0.25">
      <c r="A99" s="11">
        <v>61403</v>
      </c>
      <c r="B99" s="12" t="s">
        <v>77</v>
      </c>
      <c r="C99" s="131">
        <v>9235</v>
      </c>
      <c r="D99" s="131">
        <v>10208.719999999999</v>
      </c>
      <c r="E99" s="129">
        <f>+C99+D99</f>
        <v>19443.72</v>
      </c>
      <c r="F99" s="131">
        <v>19443.72</v>
      </c>
      <c r="G99" s="131">
        <v>0</v>
      </c>
      <c r="H99" s="147">
        <f t="shared" si="5"/>
        <v>0</v>
      </c>
      <c r="I99" s="30"/>
    </row>
    <row r="100" spans="1:10" s="31" customFormat="1" ht="12.75" customHeight="1" thickBot="1" x14ac:dyDescent="0.3">
      <c r="A100" s="42"/>
      <c r="B100" s="43" t="s">
        <v>43</v>
      </c>
      <c r="C100" s="159">
        <f>+C99</f>
        <v>9235</v>
      </c>
      <c r="D100" s="159">
        <f>+D99</f>
        <v>10208.719999999999</v>
      </c>
      <c r="E100" s="160">
        <f>+E99</f>
        <v>19443.72</v>
      </c>
      <c r="F100" s="160">
        <f>+F99</f>
        <v>19443.72</v>
      </c>
      <c r="G100" s="160">
        <f>SUM(G99)</f>
        <v>0</v>
      </c>
      <c r="H100" s="161">
        <f t="shared" si="5"/>
        <v>0</v>
      </c>
      <c r="I100" s="30"/>
    </row>
    <row r="101" spans="1:10" s="31" customFormat="1" ht="12.75" customHeight="1" thickBot="1" x14ac:dyDescent="0.3">
      <c r="A101" s="44"/>
      <c r="B101" s="45" t="s">
        <v>24</v>
      </c>
      <c r="C101" s="162">
        <f>+C98+C100</f>
        <v>36555</v>
      </c>
      <c r="D101" s="162">
        <f>+D100+D98</f>
        <v>0</v>
      </c>
      <c r="E101" s="163">
        <f>+E100+E98</f>
        <v>36555</v>
      </c>
      <c r="F101" s="164">
        <f>+F100+F98</f>
        <v>29771.02</v>
      </c>
      <c r="G101" s="165">
        <f>SUM(G100+G98)</f>
        <v>0</v>
      </c>
      <c r="H101" s="166">
        <f>+H100+H98</f>
        <v>6783.9799999999987</v>
      </c>
      <c r="I101" s="30"/>
    </row>
    <row r="102" spans="1:10" ht="12.75" customHeight="1" x14ac:dyDescent="0.25">
      <c r="A102" s="46"/>
      <c r="B102" s="47" t="s">
        <v>78</v>
      </c>
      <c r="C102" s="167">
        <f>+C101+C86+C80+C73+C24</f>
        <v>10687404</v>
      </c>
      <c r="D102" s="168">
        <f>+D101+D86+D80+D73+D24</f>
        <v>0</v>
      </c>
      <c r="E102" s="169">
        <f>+E24+E73+E80+E101+E86</f>
        <v>10687404</v>
      </c>
      <c r="F102" s="170">
        <f>+F24+F73+F80+F101+F86</f>
        <v>7238253.1099999994</v>
      </c>
      <c r="G102" s="171">
        <f>+G24+G73+G80+G86+G101</f>
        <v>489548.34</v>
      </c>
      <c r="H102" s="172">
        <f>+E102-F102-G102</f>
        <v>2959602.5500000007</v>
      </c>
      <c r="I102" s="29"/>
      <c r="J102" s="16"/>
    </row>
    <row r="103" spans="1:10" ht="12.75" customHeight="1" x14ac:dyDescent="0.25">
      <c r="C103" s="48"/>
      <c r="D103" s="48"/>
      <c r="E103" s="48"/>
      <c r="F103" s="48"/>
      <c r="G103" s="48"/>
      <c r="H103" s="29"/>
      <c r="I103" s="29"/>
      <c r="J103" s="16"/>
    </row>
    <row r="104" spans="1:10" ht="12.75" customHeight="1" x14ac:dyDescent="0.25">
      <c r="C104" s="48"/>
      <c r="D104" s="48"/>
      <c r="E104" s="48"/>
      <c r="F104" s="48"/>
      <c r="G104" s="48"/>
      <c r="H104" s="29"/>
      <c r="I104" s="29"/>
    </row>
    <row r="105" spans="1:10" ht="12.75" customHeight="1" x14ac:dyDescent="0.25">
      <c r="C105" s="48"/>
      <c r="D105" s="48"/>
      <c r="E105" s="48"/>
      <c r="F105" s="48"/>
      <c r="G105" s="182"/>
      <c r="H105" s="29"/>
      <c r="I105" s="29"/>
    </row>
    <row r="106" spans="1:10" ht="12.75" customHeight="1" x14ac:dyDescent="0.25">
      <c r="C106" s="48"/>
      <c r="D106" s="48"/>
      <c r="E106" s="48"/>
      <c r="F106" s="48"/>
      <c r="H106" s="187"/>
      <c r="I106" s="29"/>
    </row>
    <row r="107" spans="1:10" ht="12.75" customHeight="1" x14ac:dyDescent="0.25">
      <c r="C107" s="48"/>
      <c r="D107" s="48"/>
      <c r="E107" s="48"/>
      <c r="F107" s="48"/>
      <c r="H107" s="29"/>
      <c r="I107" s="29"/>
    </row>
    <row r="108" spans="1:10" ht="12.75" customHeight="1" x14ac:dyDescent="0.25">
      <c r="C108" s="48"/>
      <c r="D108" s="48"/>
      <c r="E108" s="48"/>
      <c r="F108" s="48"/>
      <c r="G108" s="48"/>
      <c r="H108" s="29"/>
      <c r="I108" s="29"/>
    </row>
    <row r="109" spans="1:10" ht="12.75" customHeight="1" x14ac:dyDescent="0.25">
      <c r="C109" s="48"/>
      <c r="D109" s="48"/>
      <c r="E109" s="48"/>
      <c r="F109" s="48"/>
      <c r="G109" s="48"/>
      <c r="H109" s="29"/>
      <c r="I109" s="29"/>
    </row>
    <row r="110" spans="1:10" ht="12.75" customHeight="1" x14ac:dyDescent="0.25">
      <c r="C110" s="48"/>
      <c r="D110" s="48"/>
      <c r="E110" s="48"/>
      <c r="F110" s="48"/>
      <c r="G110" s="48"/>
      <c r="J110" s="29"/>
    </row>
    <row r="111" spans="1:10" ht="12.75" customHeight="1" x14ac:dyDescent="0.25">
      <c r="C111" s="48"/>
      <c r="D111" s="48"/>
      <c r="E111" s="48"/>
      <c r="F111" s="48"/>
      <c r="G111" s="48"/>
    </row>
    <row r="112" spans="1:10" ht="12.75" customHeight="1" x14ac:dyDescent="0.25">
      <c r="C112" s="49"/>
      <c r="D112" s="49"/>
      <c r="E112" s="49"/>
      <c r="F112" s="49"/>
      <c r="G112" s="49"/>
      <c r="H112" s="49"/>
    </row>
    <row r="113" spans="3:8" ht="12.75" customHeight="1" x14ac:dyDescent="0.25">
      <c r="C113" s="50"/>
      <c r="D113" s="50"/>
      <c r="E113" s="50"/>
      <c r="F113" s="50"/>
      <c r="G113" s="50"/>
      <c r="H113" s="50"/>
    </row>
  </sheetData>
  <mergeCells count="6">
    <mergeCell ref="A8:H8"/>
    <mergeCell ref="B2:I2"/>
    <mergeCell ref="B3:F3"/>
    <mergeCell ref="B4:F4"/>
    <mergeCell ref="A6:H6"/>
    <mergeCell ref="B7:H7"/>
  </mergeCells>
  <pageMargins left="0.9055118110236221" right="0.31496062992125984" top="0.74803149606299213" bottom="0.74803149606299213" header="0.31496062992125984" footer="0.31496062992125984"/>
  <pageSetup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EJECUCION ENE 2020</vt:lpstr>
      <vt:lpstr>EJECUCION FEB 2020</vt:lpstr>
      <vt:lpstr>EJECUCION MAR 2020</vt:lpstr>
      <vt:lpstr>EJECUCION ABR 2020</vt:lpstr>
      <vt:lpstr>EJECUCION MAYO 2020</vt:lpstr>
      <vt:lpstr>EJECUCION JUNIO 2020</vt:lpstr>
      <vt:lpstr>EJECUCION JULIO 2020</vt:lpstr>
      <vt:lpstr>EJECUCION AGOSTO 2020</vt:lpstr>
      <vt:lpstr>EJECUCION SEPTIEMBRE 2020</vt:lpstr>
      <vt:lpstr>EJECUCION OCTUBRE 2020 </vt:lpstr>
      <vt:lpstr>EJECUCION NOVIEMBRE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2020-12-07T17:56:00Z</dcterms:modified>
</cp:coreProperties>
</file>